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7.xml" ContentType="application/vnd.openxmlformats-officedocument.spreadsheetml.worksheet+xml"/>
  <Override PartName="/xl/worksheets/sheet10.xml" ContentType="application/vnd.openxmlformats-officedocument.spreadsheetml.worksheet+xml"/>
  <Override PartName="/xl/worksheets/sheet12.xml" ContentType="application/vnd.openxmlformats-officedocument.spreadsheetml.worksheet+xml"/>
  <Override PartName="/xl/worksheets/sheet9.xml" ContentType="application/vnd.openxmlformats-officedocument.spreadsheetml.worksheet+xml"/>
  <Override PartName="/xl/worksheets/sheet11.xml" ContentType="application/vnd.openxmlformats-officedocument.spreadsheetml.worksheet+xml"/>
  <Override PartName="/xl/worksheets/sheet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6.xml" ContentType="application/vnd.openxmlformats-officedocument.spreadsheetml.worksheet+xml"/>
  <Override PartName="/xl/worksheets/sheet15.xml" ContentType="application/vnd.openxmlformats-officedocument.spreadsheetml.worksheet+xml"/>
  <Override PartName="/xl/worksheets/sheet5.xml" ContentType="application/vnd.openxmlformats-officedocument.spreadsheetml.worksheet+xml"/>
  <Override PartName="/xl/worksheets/sheet14.xml" ContentType="application/vnd.openxmlformats-officedocument.spreadsheetml.worksheet+xml"/>
  <Override PartName="/xl/worksheets/sheet4.xml" ContentType="application/vnd.openxmlformats-officedocument.spreadsheetml.worksheet+xml"/>
  <Override PartName="/xl/worksheets/sheet13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1-Vig. Noturno 12x36 N Mot. Campus I" sheetId="1" state="visible" r:id="rId2"/>
    <sheet name="2-Vig. diurno 12x36 Mot. Moto JK" sheetId="2" state="visible" r:id="rId3"/>
    <sheet name="3-Vig. diurno 12x36 Mot. Carro JK" sheetId="3" state="visible" r:id="rId4"/>
    <sheet name="4-Vig. diurno 12x36 N Mot. JK" sheetId="4" state="visible" r:id="rId5"/>
    <sheet name="5-Vig. noturno 12x36 Mot. Moto JK" sheetId="5" state="visible" r:id="rId6"/>
    <sheet name="6-Vig. noturno 12x36 Mot. Carro JK" sheetId="6" state="visible" r:id="rId7"/>
    <sheet name="7-Vig. noturno 12x36 N Mot. JK" sheetId="7" state="visible" r:id="rId8"/>
    <sheet name="8- Vig. noturno 12X36 N Mot. Faz. Experimental - Couto Magalhães" sheetId="8" state="visible" r:id="rId9"/>
    <sheet name="9 - Vig. diurno 12x36 N. Mot Faz. Experimental - Couto Magalhães" sheetId="9" state="visible" r:id="rId10"/>
    <sheet name="10-Vig. Noturno 12x36 Mot. Moto - Curvelo" sheetId="10" state="visible" r:id="rId11"/>
    <sheet name="11 - Vig. diurno 12x36 Mot. Moto Curvelo" sheetId="11" state="visible" r:id="rId12"/>
    <sheet name="12 -Vig. noturno 12x36 N. Mot Moradia Estudantil" sheetId="12" state="visible" r:id="rId13"/>
    <sheet name="13 - Vig.Supervisor  44 hs " sheetId="13" state="visible" r:id="rId14"/>
    <sheet name="Média Insumos e benefícios" sheetId="14" state="visible" r:id="rId15"/>
    <sheet name="Equipamentos Campus I" sheetId="15" state="visible" r:id="rId16"/>
    <sheet name="Equipamentos Campus JK (Moto)" sheetId="16" state="visible" r:id="rId17"/>
    <sheet name="Equipamentos JK (Carro)" sheetId="17" state="visible" r:id="rId18"/>
    <sheet name="Equipamentos JK (Não Mot.)" sheetId="18" state="visible" r:id="rId19"/>
    <sheet name="Equipamentos - FZ- Exp- do Rio Manso" sheetId="19" state="visible" r:id="rId20"/>
    <sheet name="Equipamentos - FZ - Exp do Moura" sheetId="20" state="visible" r:id="rId21"/>
    <sheet name="Equipamentos Moradia Estudantil" sheetId="21" state="visible" r:id="rId22"/>
    <sheet name="Equipamentos Supervisor" sheetId="22" state="visible" r:id="rId23"/>
    <sheet name="Resumo" sheetId="23" state="visible" r:id="rId24"/>
  </sheets>
  <calcPr iterateCount="100" refMode="A1" iterate="false" iterateDelta="0.001"/>
</workbook>
</file>

<file path=xl/sharedStrings.xml><?xml version="1.0" encoding="utf-8"?>
<sst xmlns="http://schemas.openxmlformats.org/spreadsheetml/2006/main" count="4708" uniqueCount="315">
  <si>
    <t>PLANILHA DE CUSTOS E FORMAÇÃO DE PREÇOS</t>
  </si>
  <si>
    <t>Nº Processo:</t>
  </si>
  <si>
    <t>Licitação Nº:</t>
  </si>
  <si>
    <t>Dia:</t>
  </si>
  <si>
    <t>Horário:</t>
  </si>
  <si>
    <t>Discriminação dos Serviços (dados referentes à contratação)</t>
  </si>
  <si>
    <t>A</t>
  </si>
  <si>
    <t>Data de apresentação da proposta (dia/ mês/ ano):</t>
  </si>
  <si>
    <t>B</t>
  </si>
  <si>
    <t>Município/ UF:</t>
  </si>
  <si>
    <t>Diamantina – Campus I</t>
  </si>
  <si>
    <t>C</t>
  </si>
  <si>
    <t>Ano Acordo, Convenção ou Sentença Normativa em Dissídio Coletivo:</t>
  </si>
  <si>
    <t>MG000171/2017</t>
  </si>
  <si>
    <t>D</t>
  </si>
  <si>
    <t>Nº de meses de execução contratual</t>
  </si>
  <si>
    <t>Identificação do Serviço:</t>
  </si>
  <si>
    <t>Tipo de Serviço:</t>
  </si>
  <si>
    <t>Unidade de medida:</t>
  </si>
  <si>
    <t>Quantidade total a contratar (em função da unidade de medida)</t>
  </si>
  <si>
    <t>Posto a ser licitado Vigilância</t>
  </si>
  <si>
    <t>Posto De Trabalho</t>
  </si>
  <si>
    <t>MÃO-DE-OBRA VINCULADA À EXECUÇÃO CONTRATUAL</t>
  </si>
  <si>
    <t>Dados complementares para composição dos custos referente à mão-de-obra</t>
  </si>
  <si>
    <t>Tipo de serviço (mesmo serviço com características distintas):</t>
  </si>
  <si>
    <t>Vigilância noturna 12x36 Não Motorizada</t>
  </si>
  <si>
    <t>Salário Normativo da Categoria Profissional:</t>
  </si>
  <si>
    <t>Categoria profissional (vinculada à execução contratual):</t>
  </si>
  <si>
    <t>Data base da categoria (dia/ mês/ ano)</t>
  </si>
  <si>
    <t>MÓDULO 1: COMPOSIÇÃO DA REMUNERAÇÃO</t>
  </si>
  <si>
    <t>COMPOSIÇÃO DA REMUNERAÇÃO</t>
  </si>
  <si>
    <t>%</t>
  </si>
  <si>
    <t>Valor (R$)</t>
  </si>
  <si>
    <t>Salário Base -</t>
  </si>
  <si>
    <t>Adicional de Periculosidade (percentual aplicado sobre "SALÁRIO BASE")</t>
  </si>
  <si>
    <t>Intervalo Intra Jornada</t>
  </si>
  <si>
    <t>Adicional Noturno</t>
  </si>
  <si>
    <t>E</t>
  </si>
  <si>
    <t>Súmula 444 TST</t>
  </si>
  <si>
    <t>F</t>
  </si>
  <si>
    <t>Integração DSR – Descanso Remunerado</t>
  </si>
  <si>
    <t>Total da Remuneração</t>
  </si>
  <si>
    <t>MÓDULO 2: BENEFÍCIOS MENSAIS E DIÁRIOS</t>
  </si>
  <si>
    <t>BENEFÍCIOS MENSAIS E DIÁRIOS</t>
  </si>
  <si>
    <t>Transporte</t>
  </si>
  <si>
    <t>Tiquete Refeição</t>
  </si>
  <si>
    <t>Cesta Básica</t>
  </si>
  <si>
    <t>Plano de Saúde/Assist.Médica (cláusula 17ª)</t>
  </si>
  <si>
    <t>Seguro de vida, invalidez e/ou funeral</t>
  </si>
  <si>
    <t>Outros</t>
  </si>
  <si>
    <t>Total dos Benefícios Mensais e Diários</t>
  </si>
  <si>
    <r>
      <t>MÓDULO 3</t>
    </r>
    <r>
      <rPr>
        <sz val="12"/>
        <color rgb="FF000000"/>
        <rFont val="Calibri"/>
        <family val="2"/>
        <charset val="1"/>
      </rPr>
      <t>:</t>
    </r>
    <r>
      <rPr>
        <b val="true"/>
        <sz val="12"/>
        <color rgb="FF000000"/>
        <rFont val="Calibri"/>
        <family val="2"/>
        <charset val="1"/>
      </rPr>
      <t>INSUMOS DIVERSOS</t>
    </r>
  </si>
  <si>
    <t>Insumos Diversos</t>
  </si>
  <si>
    <t>Uniformes EPI's</t>
  </si>
  <si>
    <t>Equipamentos/Depreciação Mensal</t>
  </si>
  <si>
    <t>(Plano Controle)</t>
  </si>
  <si>
    <t>Combate Vigilância Clandestina CVC</t>
  </si>
  <si>
    <t>Medicina e Segurança do Trabalho (PPRA/PCMSO/Ex.Médicos Periódicos)</t>
  </si>
  <si>
    <t>Total de Insumos Diversos</t>
  </si>
  <si>
    <t>MÓDULO 4: ENCARGOS SOCIAIS E TRABALHISTAS</t>
  </si>
  <si>
    <t>SUBMÓDULO 4.1: ENCARGOS PREVIDENCIÁRIOS E FGTS</t>
  </si>
  <si>
    <t>4.1</t>
  </si>
  <si>
    <t>Encargos Previdenciários e FGTS</t>
  </si>
  <si>
    <t>INSS - Fund. Legal - art. 22 Inciso I, da lei n°8212/91</t>
  </si>
  <si>
    <t>SESI ou SESC Fund. Legal - art. 30 lei 8.036/90, art. 240 CF/88</t>
  </si>
  <si>
    <t>SENAI ou SENAC Fund. Legal -Decreto-Lei n° 2318/86</t>
  </si>
  <si>
    <t>INCRA Fund. Legal - Art. 1°,Inciso I do Decreto -Lei n° 1146/1970</t>
  </si>
  <si>
    <t>Salário Educação - Fund. Legal - Art. 212 § 5° da CF/88</t>
  </si>
  <si>
    <t>FGTS Fund. Legal - Art 15 da Lei n° 8036/90</t>
  </si>
  <si>
    <t>G</t>
  </si>
  <si>
    <t>Seg. acidente de trabalho F. Legal - Art. 22, II alíneas "B" "C" Lei 8212/91</t>
  </si>
  <si>
    <t>H</t>
  </si>
  <si>
    <t>SEBRAE Fund. Legal - Art 8da Lei 8029/90</t>
  </si>
  <si>
    <t>Total</t>
  </si>
  <si>
    <t>SUBMÓDULO 4.2: 13º SALÁRIO</t>
  </si>
  <si>
    <t>4.2</t>
  </si>
  <si>
    <r>
      <t>13</t>
    </r>
    <r>
      <rPr>
        <sz val="12"/>
        <color rgb="FF000000"/>
        <rFont val="Calibri"/>
        <family val="2"/>
        <charset val="1"/>
      </rPr>
      <t>º</t>
    </r>
    <r>
      <rPr>
        <b val="true"/>
        <sz val="12"/>
        <color rgb="FF000000"/>
        <rFont val="Calibri"/>
        <family val="2"/>
        <charset val="1"/>
      </rPr>
      <t>Salário</t>
    </r>
  </si>
  <si>
    <t>13º Salário</t>
  </si>
  <si>
    <t>Incidência do Submódulo 4.1 sobre 13º Salário</t>
  </si>
  <si>
    <t>SUBMÓDULO 4.3: AFASTAMENTO MATERNIDADE</t>
  </si>
  <si>
    <t>4.3</t>
  </si>
  <si>
    <t>Afastamento Maternidade</t>
  </si>
  <si>
    <t>Incidência do Submódulo 4.1 sobre Afastamento Maternidade</t>
  </si>
  <si>
    <t>SUBMÓDULO 4.4: PROVISÃO PARA RESCISÃO</t>
  </si>
  <si>
    <t>4.4</t>
  </si>
  <si>
    <t>Provisão para Rescisão</t>
  </si>
  <si>
    <t>Aviso Prévio Indenizado</t>
  </si>
  <si>
    <t>Incidência do FGTS sobre Aviso Prévio Indenizado</t>
  </si>
  <si>
    <t>Multa do FGTS do Aviso Prévio Indenizado</t>
  </si>
  <si>
    <t>Aviso Prévio Trabalhado</t>
  </si>
  <si>
    <t>Incidência do Submódulo 4.1 sobre Aviso Prévio Trabalhado</t>
  </si>
  <si>
    <t>Multa do FGTS do Aviso Prévio Trabalhado</t>
  </si>
  <si>
    <t>SUBMÓDULO 4.5: CUSTO DE REPOSIÇÃO DO PROFISSIONAL AUSENTE:</t>
  </si>
  <si>
    <t>4.5</t>
  </si>
  <si>
    <t>Composição do Custo de Reposição do profissional Ausente</t>
  </si>
  <si>
    <t>Férias e terço constitucional</t>
  </si>
  <si>
    <t>Ausência por Doença</t>
  </si>
  <si>
    <t>Licença Paternidade</t>
  </si>
  <si>
    <t>Ausências legais</t>
  </si>
  <si>
    <t>Ausência por Acidente de Trabalho</t>
  </si>
  <si>
    <t>Outros (especificar)</t>
  </si>
  <si>
    <t>SUBTOTAL:</t>
  </si>
  <si>
    <t>Incidência do Submódulo 4.1 sobre o Custo de Reposição:</t>
  </si>
  <si>
    <t>QUADRO - RESUMO - MÓDULO 4 - ENCARGOS SOCIAIS E TRABALHISTAS</t>
  </si>
  <si>
    <t>MÓDULO 4 - ENCARGOS SOCIAIS E TRABALHISTAS</t>
  </si>
  <si>
    <r>
      <t>4</t>
    </r>
    <r>
      <rPr>
        <b val="true"/>
        <sz val="12"/>
        <color rgb="FF000000"/>
        <rFont val="Calibri"/>
        <family val="2"/>
        <charset val="1"/>
      </rPr>
      <t>.1</t>
    </r>
  </si>
  <si>
    <t>Encargos PREVIDENCIÁRIOS e FGTS:</t>
  </si>
  <si>
    <r>
      <t>4</t>
    </r>
    <r>
      <rPr>
        <b val="true"/>
        <sz val="12"/>
        <color rgb="FF000000"/>
        <rFont val="Calibri"/>
        <family val="2"/>
        <charset val="1"/>
      </rPr>
      <t>.2</t>
    </r>
  </si>
  <si>
    <t>13º SALÁRIO</t>
  </si>
  <si>
    <r>
      <t>4</t>
    </r>
    <r>
      <rPr>
        <b val="true"/>
        <sz val="12"/>
        <color rgb="FF000000"/>
        <rFont val="Calibri"/>
        <family val="2"/>
        <charset val="1"/>
      </rPr>
      <t>.3</t>
    </r>
  </si>
  <si>
    <t>Afastamento MATERNIDADE:</t>
  </si>
  <si>
    <r>
      <t>4</t>
    </r>
    <r>
      <rPr>
        <b val="true"/>
        <sz val="12"/>
        <color rgb="FF000000"/>
        <rFont val="Calibri"/>
        <family val="2"/>
        <charset val="1"/>
      </rPr>
      <t>.4</t>
    </r>
  </si>
  <si>
    <t>Provisão para RESCISÃO:</t>
  </si>
  <si>
    <r>
      <t>4</t>
    </r>
    <r>
      <rPr>
        <b val="true"/>
        <sz val="12"/>
        <color rgb="FF000000"/>
        <rFont val="Calibri"/>
        <family val="2"/>
        <charset val="1"/>
      </rPr>
      <t>.5</t>
    </r>
  </si>
  <si>
    <t>Custo de REPOSIÇÃO do profissional AUSENTE:</t>
  </si>
  <si>
    <r>
      <t>4</t>
    </r>
    <r>
      <rPr>
        <b val="true"/>
        <sz val="12"/>
        <color rgb="FF000000"/>
        <rFont val="Calibri"/>
        <family val="2"/>
        <charset val="1"/>
      </rPr>
      <t>.6</t>
    </r>
  </si>
  <si>
    <r>
      <t>MÓDULO 5</t>
    </r>
    <r>
      <rPr>
        <sz val="12"/>
        <color rgb="FF000000"/>
        <rFont val="Calibri"/>
        <family val="2"/>
        <charset val="1"/>
      </rPr>
      <t>:</t>
    </r>
    <r>
      <rPr>
        <b val="true"/>
        <sz val="12"/>
        <color rgb="FF000000"/>
        <rFont val="Calibri"/>
        <family val="2"/>
        <charset val="1"/>
      </rPr>
      <t>CUSTOS INDIRETOS</t>
    </r>
    <r>
      <rPr>
        <sz val="12"/>
        <color rgb="FF000000"/>
        <rFont val="Calibri"/>
        <family val="2"/>
        <charset val="1"/>
      </rPr>
      <t>,</t>
    </r>
    <r>
      <rPr>
        <b val="true"/>
        <sz val="12"/>
        <color rgb="FF000000"/>
        <rFont val="Calibri"/>
        <family val="2"/>
        <charset val="1"/>
      </rPr>
      <t>TRIBUTOS E LUCRO</t>
    </r>
    <r>
      <rPr>
        <sz val="12"/>
        <color rgb="FF000000"/>
        <rFont val="Calibri"/>
        <family val="2"/>
        <charset val="1"/>
      </rPr>
      <t>.</t>
    </r>
  </si>
  <si>
    <t>Custos Indiretos, Tributos e Lucro</t>
  </si>
  <si>
    <t>CUSTOS INDIRETOS</t>
  </si>
  <si>
    <t>LUCRO</t>
  </si>
  <si>
    <t>TRIBUTOS</t>
  </si>
  <si>
    <t>C.1</t>
  </si>
  <si>
    <r>
      <t>Tributos Federais (especificar) -</t>
    </r>
    <r>
      <rPr>
        <b val="true"/>
        <sz val="12"/>
        <color rgb="FF000000"/>
        <rFont val="Calibri"/>
        <family val="2"/>
        <charset val="1"/>
      </rPr>
      <t>COFINS</t>
    </r>
  </si>
  <si>
    <r>
      <t>Tributos Federais (especificar) -</t>
    </r>
    <r>
      <rPr>
        <b val="true"/>
        <sz val="12"/>
        <color rgb="FF000000"/>
        <rFont val="Calibri"/>
        <family val="2"/>
        <charset val="1"/>
      </rPr>
      <t>PIS</t>
    </r>
  </si>
  <si>
    <t>C.2</t>
  </si>
  <si>
    <t>Tributos Estaduais (especificar)</t>
  </si>
  <si>
    <t>C.3</t>
  </si>
  <si>
    <r>
      <t>Tributos Municipais (especificar) -</t>
    </r>
    <r>
      <rPr>
        <b val="true"/>
        <sz val="12"/>
        <color rgb="FF000000"/>
        <rFont val="Calibri"/>
        <family val="2"/>
        <charset val="1"/>
      </rPr>
      <t>ISS</t>
    </r>
  </si>
  <si>
    <t>C.4</t>
  </si>
  <si>
    <t>Outros Tributos (especificar)</t>
  </si>
  <si>
    <t>Total Tributos</t>
  </si>
  <si>
    <r>
      <t>"</t>
    </r>
    <r>
      <rPr>
        <b val="true"/>
        <sz val="12"/>
        <color rgb="FF000000"/>
        <rFont val="Calibri"/>
        <family val="2"/>
        <charset val="1"/>
      </rPr>
      <t>DIVISOR</t>
    </r>
    <r>
      <rPr>
        <sz val="12"/>
        <color rgb="FF000000"/>
        <rFont val="Calibri"/>
        <family val="2"/>
        <charset val="1"/>
      </rPr>
      <t>" a ser considerado para </t>
    </r>
    <r>
      <rPr>
        <b val="true"/>
        <sz val="12"/>
        <color rgb="FF000000"/>
        <rFont val="Calibri"/>
        <family val="2"/>
        <charset val="1"/>
      </rPr>
      <t>TRIBUTOS</t>
    </r>
    <r>
      <rPr>
        <sz val="12"/>
        <color rgb="FF000000"/>
        <rFont val="Calibri"/>
        <family val="2"/>
        <charset val="1"/>
      </rPr>
      <t>: BASE DE CÁLCULO (MÓDULO 1+MÓDULO 2+MÓDULO 3+ MÓDULO 4+CUSTOS INDIRETOS+LUCRO):</t>
    </r>
  </si>
  <si>
    <t>"CUSTO FINAL":</t>
  </si>
  <si>
    <t>QUADRO-RESUMO DO CUSTO POR EMPREGADO.</t>
  </si>
  <si>
    <t>Mão de obra vinculada à execução contratual (VALOR por EMPREGADO)</t>
  </si>
  <si>
    <r>
      <t>MÓDULO 1</t>
    </r>
    <r>
      <rPr>
        <sz val="12"/>
        <color rgb="FF000000"/>
        <rFont val="Calibri"/>
        <family val="2"/>
        <charset val="1"/>
      </rPr>
      <t>- Composição da REMUNERAÇÃO</t>
    </r>
  </si>
  <si>
    <r>
      <t>MÓDULO 2</t>
    </r>
    <r>
      <rPr>
        <sz val="12"/>
        <color rgb="FF000000"/>
        <rFont val="Calibri"/>
        <family val="2"/>
        <charset val="1"/>
      </rPr>
      <t>- Benefícios MENSAIS e DIÁRIOS</t>
    </r>
  </si>
  <si>
    <r>
      <t>MÓDULO 3</t>
    </r>
    <r>
      <rPr>
        <sz val="12"/>
        <color rgb="FF000000"/>
        <rFont val="Calibri"/>
        <family val="2"/>
        <charset val="1"/>
      </rPr>
      <t>- Insumos Diversos (Uniformes, Materiais, Equipamentos e Outros)</t>
    </r>
  </si>
  <si>
    <r>
      <t>MÓDULO 4</t>
    </r>
    <r>
      <rPr>
        <sz val="12"/>
        <color rgb="FF000000"/>
        <rFont val="Calibri"/>
        <family val="2"/>
        <charset val="1"/>
      </rPr>
      <t>- ENCARGOS Sociais E Trabalhistas</t>
    </r>
  </si>
  <si>
    <t>Subtotal (A+B+C+D):</t>
  </si>
  <si>
    <t>MÓDULO 5 - Custos Indiretos, Tributos E Lucro</t>
  </si>
  <si>
    <r>
      <t>VALOR POR EMPREGADO</t>
    </r>
    <r>
      <rPr>
        <sz val="12"/>
        <color rgb="FF000000"/>
        <rFont val="Calibri"/>
        <family val="2"/>
        <charset val="1"/>
      </rPr>
      <t>/</t>
    </r>
    <r>
      <rPr>
        <b val="true"/>
        <sz val="12"/>
        <color rgb="FF000000"/>
        <rFont val="Calibri"/>
        <family val="2"/>
        <charset val="1"/>
      </rPr>
      <t>MÊS</t>
    </r>
  </si>
  <si>
    <r>
      <t>VALOR POR  POSTO</t>
    </r>
    <r>
      <rPr>
        <sz val="12"/>
        <color rgb="FF000000"/>
        <rFont val="Calibri"/>
        <family val="2"/>
        <charset val="1"/>
      </rPr>
      <t>/</t>
    </r>
    <r>
      <rPr>
        <b val="true"/>
        <sz val="12"/>
        <color rgb="FF000000"/>
        <rFont val="Calibri"/>
        <family val="2"/>
        <charset val="1"/>
      </rPr>
      <t>MÊS</t>
    </r>
  </si>
  <si>
    <t>Diamantina – Campus JK</t>
  </si>
  <si>
    <t>Vigilância diurna 12x36 Mot. Moto</t>
  </si>
  <si>
    <t>-</t>
  </si>
  <si>
    <t>Disponibilização da Motocicleta</t>
  </si>
  <si>
    <t>Combustível Motocicleta</t>
  </si>
  <si>
    <t>Vigilância diurna 12x36 Mot. Carro</t>
  </si>
  <si>
    <t>Disponibilização Veículo</t>
  </si>
  <si>
    <t>Combustível Veículo</t>
  </si>
  <si>
    <r>
      <t>MÓDULO 1</t>
    </r>
    <r>
      <rPr>
        <sz val="12"/>
        <color rgb="FF000000"/>
        <rFont val="Arial Narrow"/>
        <family val="2"/>
        <charset val="1"/>
      </rPr>
      <t>- Composição da REMUNERAÇÃO</t>
    </r>
  </si>
  <si>
    <r>
      <t>MÓDULO 2</t>
    </r>
    <r>
      <rPr>
        <sz val="12"/>
        <color rgb="FF000000"/>
        <rFont val="Arial Narrow"/>
        <family val="2"/>
        <charset val="1"/>
      </rPr>
      <t>- Benefícios MENSAIS e DIÁRIOS</t>
    </r>
  </si>
  <si>
    <r>
      <t>MÓDULO 3</t>
    </r>
    <r>
      <rPr>
        <sz val="12"/>
        <color rgb="FF000000"/>
        <rFont val="Arial Narrow"/>
        <family val="2"/>
        <charset val="1"/>
      </rPr>
      <t>- Insumos Diversos (Uniformes, Materiais, Equipamentos e Outros)</t>
    </r>
  </si>
  <si>
    <r>
      <t>MÓDULO 4</t>
    </r>
    <r>
      <rPr>
        <sz val="12"/>
        <color rgb="FF000000"/>
        <rFont val="Arial Narrow"/>
        <family val="2"/>
        <charset val="1"/>
      </rPr>
      <t>- ENCARGOS Sociais e Trabalhistas</t>
    </r>
  </si>
  <si>
    <r>
      <t>VALOR POR POSTO</t>
    </r>
    <r>
      <rPr>
        <sz val="12"/>
        <color rgb="FF000000"/>
        <rFont val="Calibri"/>
        <family val="2"/>
        <charset val="1"/>
      </rPr>
      <t>/</t>
    </r>
    <r>
      <rPr>
        <b val="true"/>
        <sz val="12"/>
        <color rgb="FF000000"/>
        <rFont val="Calibri"/>
        <family val="2"/>
        <charset val="1"/>
      </rPr>
      <t>MÊS</t>
    </r>
  </si>
  <si>
    <t>Vigilância diurna 12x36 Não Motorizada</t>
  </si>
  <si>
    <t>Vigilância noturna 12x36 Mot. Moto</t>
  </si>
  <si>
    <t>DIAS TRABALHADOS</t>
  </si>
  <si>
    <t>Vigilância noturna 12x36 Mot.Carro</t>
  </si>
  <si>
    <t>Couto Magalhães – Faz. Experimental</t>
  </si>
  <si>
    <t>Salário Base</t>
  </si>
  <si>
    <t>Curvelo – Faz. Experimental</t>
  </si>
  <si>
    <t>Diamantina – Moradia Estudantil</t>
  </si>
  <si>
    <t>Diamantina – Vigilante Coordenador</t>
  </si>
  <si>
    <t>Vigilante Coordenador – Diurno</t>
  </si>
  <si>
    <t>Remuneração Diferenciada – Cláusula 7ª CCT</t>
  </si>
  <si>
    <t>Adicional Noturno – Máximo 20 hs Mês</t>
  </si>
  <si>
    <t>PLANILHA DE PREÇO MÉDIO – SEGURO DE VIDA, INVALIDEZ E /OU FUNERAL</t>
  </si>
  <si>
    <t>PLANILHA DE PREÇO MÉDIO – PPRA/PCMSO / Ex. Médicos Periódicos</t>
  </si>
  <si>
    <t>POSTO 1</t>
  </si>
  <si>
    <t>PREÇO 1</t>
  </si>
  <si>
    <t>PREÇO 2</t>
  </si>
  <si>
    <t>PREÇO 3</t>
  </si>
  <si>
    <t>MÉDIA</t>
  </si>
  <si>
    <t>POSTO 2</t>
  </si>
  <si>
    <t>POSTO 3</t>
  </si>
  <si>
    <t>POSTO 4</t>
  </si>
  <si>
    <t>POSTO 5</t>
  </si>
  <si>
    <t>POSTO 6</t>
  </si>
  <si>
    <t>POSTO 7</t>
  </si>
  <si>
    <t>POSTO 8</t>
  </si>
  <si>
    <t>POSTO 9</t>
  </si>
  <si>
    <t>POSTO 10</t>
  </si>
  <si>
    <t>POSTO 11</t>
  </si>
  <si>
    <t>POSTO 12</t>
  </si>
  <si>
    <t>POSTO 13</t>
  </si>
  <si>
    <t>PLANILHA DE PREÇO MÉDIO – EQUIPAMENTOS CAMPUS I</t>
  </si>
  <si>
    <t>COFRE</t>
  </si>
  <si>
    <t>REFERÊNCIA NCM</t>
  </si>
  <si>
    <t>% DEPRECIAÇÃO</t>
  </si>
  <si>
    <t>PRAZO DE VIDA ÚTIL (ANOS)</t>
  </si>
  <si>
    <t>VALOR MENSAL</t>
  </si>
  <si>
    <t>VALOR RATEADO</t>
  </si>
  <si>
    <t>PONTO DE RONDA COM SISTEMA DE RONDA</t>
  </si>
  <si>
    <t>APARELHO CELULAR</t>
  </si>
  <si>
    <t>PLANO CONTROLE</t>
  </si>
  <si>
    <t>RELÓGIO DE PONTO BIOMÉTRICO</t>
  </si>
  <si>
    <t>REVOLVER CALIBRE 38</t>
  </si>
  <si>
    <t>CINTO COM COLDRE E BALEIRO</t>
  </si>
  <si>
    <t>CASSETETE TIPO TONFA E PORTA CASSETETE</t>
  </si>
  <si>
    <t>LANTERNA</t>
  </si>
  <si>
    <t>CAPA PARA PLACA BALÍSTICA</t>
  </si>
  <si>
    <t>PLACA BALÍSTICA</t>
  </si>
  <si>
    <r>
      <t>RÁDIO DE COMUNICAÇÃO</t>
    </r>
    <r>
      <rPr>
        <b val="true"/>
        <sz val="12"/>
        <color rgb="FFFF0000"/>
        <rFont val="Verdana"/>
        <family val="2"/>
        <charset val="1"/>
      </rPr>
      <t>(Por se tratar de apenas um posto, não será utilizado o rádio, já que o vigilante não terá com quem comunicar)</t>
    </r>
  </si>
  <si>
    <t>LIVRO DE OCORRÊNCIA</t>
  </si>
  <si>
    <t>APITO E CORDÃO</t>
  </si>
  <si>
    <t>CALÇA</t>
  </si>
  <si>
    <t>CAMISA DE MANGAS CURTAS</t>
  </si>
  <si>
    <t>CAPA IMPERMEÁVEL DE PVC PARA CHUVA</t>
  </si>
  <si>
    <t>CINTO DE NYLON</t>
  </si>
  <si>
    <t>COTURNO</t>
  </si>
  <si>
    <t>CRACHÁ</t>
  </si>
  <si>
    <t>DISTINTIVO TIPO BROCHE</t>
  </si>
  <si>
    <t>JAQUETA DE FRIO OU JAPONA</t>
  </si>
  <si>
    <t>PAR DE MEIAS</t>
  </si>
  <si>
    <t>QUEPE COM EMBLEMA</t>
  </si>
  <si>
    <t>CUSTO MENSAL DOS EQUIPAMENTOS E UNIFORME – CAMPUS I</t>
  </si>
  <si>
    <t>CUSTO MENSAL DO PLANO CONTROLE – CAMPUS I</t>
  </si>
  <si>
    <t>CUSTO MENSAL DOS EQUIPAMENTOS – CAMPUS I</t>
  </si>
  <si>
    <t>CUSTO MENSAL DOS UNIFORMES – CAMPUS I</t>
  </si>
  <si>
    <t>SUBSÍDIO AO TRANSPORTE DOS VIGILANTES – CAMPUS I</t>
  </si>
  <si>
    <t>O VALOR RATEADO É POR FUNCIONÁRIO E NÃO POR POSTO, PARA SE CHEGAR AO VALOR DO CUSTO POR POSTO 
MULTIPLICAR O VALOR RATEADO TOTAL POR 2 (DOIS) E SOMAR O VALOR RATEADO DO PLANO CONTROLE.</t>
  </si>
  <si>
    <t>PLANILHA DE PREÇO MÉDIO – EQUIPAMENTOS CAMPUS JK (MOTORIZADO MOTO)</t>
  </si>
  <si>
    <t>CASSETETE</t>
  </si>
  <si>
    <t>RÁDIO DE COMUNICAÇÃO</t>
  </si>
  <si>
    <t>BOTA COM REFORÇOS SUPERIORES, PREFERENCIALMENTE SEM CADARÇO</t>
  </si>
  <si>
    <t>CALÇA COM PROTETORES DE JOELHOS</t>
  </si>
  <si>
    <t>CAPACETE INDIVIDUAL TIPO “ROBOCOP”</t>
  </si>
  <si>
    <t>JAQUETA DE FRIO, COM PROTETORES DE COTOVELOS, OMBROS E COSTAS</t>
  </si>
  <si>
    <t>CONJUNTO COMPOSTO DE BLUSÃO E CALÇA IMPERMEÁVEL PARA CHUVA INCLUINDO POLAINA OU CAPA PARA BOTA</t>
  </si>
  <si>
    <t>CUSTO MENSAL DOS EQUIPAMENTOS E UNIFORMES – CAMPUS JK (MOTORIZADO MOTO)</t>
  </si>
  <si>
    <t>MOTOS</t>
  </si>
  <si>
    <t>COMBUSTÍVEL MOTO</t>
  </si>
  <si>
    <t>MÉDIA DE KM DIA/NOITE</t>
  </si>
  <si>
    <t>VALOR MENSAL RATEADO</t>
  </si>
  <si>
    <t>192KM</t>
  </si>
  <si>
    <t>MÉDIA DE 00 KM POR LITRO DE COMBUSTÍVEL</t>
  </si>
  <si>
    <t>5,0 LITRO DE COMBUSTÍVEL AO DIA x 30 DIAS = 150 LITROS AO MÊS x R$ 4,11 = R$ 616,50</t>
  </si>
  <si>
    <t>CUSTO MENSAL DOS EQUIPAMENTOS – CAMPUS JK (MOTORIZADOS MOTO)</t>
  </si>
  <si>
    <t>CUSTO MENSAL DOS UNIFORMES – CAMPUS JK (MOTORIZADOS MOTO)</t>
  </si>
  <si>
    <t>SUBSÍDIO AO TRANSPORTE DOS VIGILANTES – CAMPUS JK (MOTORIZADOS MOTO)</t>
  </si>
  <si>
    <t>O VALOR RATEADO É POR FUNCIONÁRIO E NÃO POR POSTO, E AINDA NÃO ESTÁ CONSIDERANDO O VEÍCULO E O COMBUSTÍVEL,
 PARA SE CHEGAR AO VALOR DO CUSTO POR POSTO MULTIPLICAR O VALOR RATEADO TOTAL POR 2 (DOIS).</t>
  </si>
  <si>
    <t>PLANILHA DE PREÇO MÉDIO – EQUIPAMENTOS CAMPUS JK (MOTORIZADOS CARRO)</t>
  </si>
  <si>
    <t>´</t>
  </si>
  <si>
    <t>CUSTO MENSAL DOS EQUIPAMENTOS – CAMPUS JK</t>
  </si>
  <si>
    <t>CARRO¹</t>
  </si>
  <si>
    <t>COMBUSTÍVEL CARRO</t>
  </si>
  <si>
    <t>10,0 LITRO DE COMBUSTÍVEL AO DIA x 30 DIAS = 300 LITROS AO MÊS x R$ 4,11 = R$ 1.233,00</t>
  </si>
  <si>
    <t>CUSTO MENSAL DOS EQUIPAMENTOS – CAMPUS JK (MOTORIZADOS CARRO)</t>
  </si>
  <si>
    <t>CUSTO MENSAL DOS UNIFORMES – CAMPUS JK (MOTORIZADOS CARRO)</t>
  </si>
  <si>
    <t>SUBSÍDIO AO TRANSPORTE DOS VIGILANTES – CAMPUS JK (MOTORIZADOS CARRO)</t>
  </si>
  <si>
    <t>1. Os valores dos veículos foram obtidos diretamente do site dos fabricantes, sendo somados à esses os valores dos Giroflex com sirene, obtendo-se ao final a média de R$ 38.717,85 para o automóvel.</t>
  </si>
  <si>
    <t>PLANILHA DE PREÇO MÉDIO – EQUIPAMENTOS CAMPUS JK – NÃO MOTORIZADOS</t>
  </si>
  <si>
    <t>CUSTO MENSAL DOS EQUIPAMENTOS E UNIFORMES – CAMPUS JK</t>
  </si>
  <si>
    <t>CUSTO MENSAL DOS EQUIPAMENTOS – CAMPUS JK (NÃO MOTORIZADOS)</t>
  </si>
  <si>
    <t>CUSTO MENSAL DOS UNIFORMES – CAMPUS JK (NÃO MOTORIZADOS)</t>
  </si>
  <si>
    <t>SUBSÍDIO AO TRANSPORTE DOS VIGILANTES – CAMPUS JK (NÃO MOTORIZADOS)</t>
  </si>
  <si>
    <t>O VALOR RATEADO É POR FUNCIONÁRIO E NÃO POR POSTO, PARA SE CHEGAR AO VALOR DO CUSTO POR POSTO 
MULTIPLICAR O VALOR RATEADO TOTAL POR 2 (DOIS).</t>
  </si>
  <si>
    <t>PLANILHA DE PREÇO MÉDIO – FZ. EXP. DO RIO MANSO</t>
  </si>
  <si>
    <t>CUSTO MENSAL DOS EQUIPAMENTOS E UNIFORMES – FAZENDA EXP. RIO MANSO</t>
  </si>
  <si>
    <t>CUSTO MENSAL DO PLANO CONTROLE – FAZENDA EXP. RIO MANSO</t>
  </si>
  <si>
    <t>CUSTO MENSAL DOS EQUIPAMENTOS – FZ. EXP. DO RIO MANSO</t>
  </si>
  <si>
    <t>CUSTO MENSAL DOS UNIFORMES – FZ. EXP. DO RIO MANSO</t>
  </si>
  <si>
    <t>SUBSÍDIO AO TRANSPORTE DOS VIGILANTES – FZ. EXP. DO RIO MANSO</t>
  </si>
  <si>
    <t>O VALOR RATEADO É POR FUNCIONÁRIO E NÃO POR POSTO, PARA SE CHEGAR AO VALOR DO CUSTO POR POSTO
MULTIPLICAR O VALOR RATEADO TOTAL POR 2 (DOIS).</t>
  </si>
  <si>
    <t>PLANILHA DE PREÇO MÉDIO – EQUIPAMENTOS FZ EXP. DO MOURA</t>
  </si>
  <si>
    <t>JAQUETA COM PROTETORES DE COTOVELOS</t>
  </si>
  <si>
    <t>CUSTO MENSAL DOS EQUIPAMENTOS E UNIFORMES – FZ. EXP. DO MOURA</t>
  </si>
  <si>
    <t>CUSTO MENSAL DO PLANO CONTROLE – FZ. EXP. DO MOURA</t>
  </si>
  <si>
    <t>5,0 LITRO DE COMBUSTÍVEL AO DIA x 30 DIAS = 150 LITROS AO MÊS x R$ 4,95 = R$ 576,00</t>
  </si>
  <si>
    <t>CUSTO MENSAL DOS EQUIPAMENTOS – FZ. EXP. DO MOURA</t>
  </si>
  <si>
    <t>CUSTO MENSAL DOS UNIFORMES – FZ. EXP. DO MOURA</t>
  </si>
  <si>
    <t>SUBSÍDIO AO TRANSPORTE DOS VIGILANTES – FZ. EXP. DO MOURA</t>
  </si>
  <si>
    <t>PLANILHA DE PREÇO MÉDIO – EQUIPAMENTOS MORADIA ESTUDANTIL UNIVERSITÁRIA</t>
  </si>
  <si>
    <t>CUSTO MENSAL DOS EQUIPAMENTOS E UNIFORMES – MORADIA ESTUDANTIL UNIVERSITÁRIA</t>
  </si>
  <si>
    <t>CUSTO MENSAL DO PLANO CONTROLE – MORADIA ESTUDANTIL UNIVERSITÁRIA</t>
  </si>
  <si>
    <t>CUSTO MENSAL DOS EQUIPAMENTOS – MORADIA ESTUDANTIL UNIVERSITÁRIA</t>
  </si>
  <si>
    <t>CUSTO MENSAL DOS UNIFORMES – MORADIA ESTUDANTIL UNIVERSITÁRIA</t>
  </si>
  <si>
    <t>SUBSÍDIO AO TRANSPORTE DOS VIGILANTES – MORADIA ESTUDANTIL UNIVERSITÁRIA</t>
  </si>
  <si>
    <t>PLANILHA DE PREÇO MÉDIO – EQUIPAMENTOS CAMPUS JK (VIG. SUPERVISOR)</t>
  </si>
  <si>
    <t>NOTEBOOK COM ACESSO À INTERNET</t>
  </si>
  <si>
    <t>CUSTO MENSAL DOS EQUIPAMENTOS E UNIFORMES – CAMPUS JK (VIG. SUPERVISOR)</t>
  </si>
  <si>
    <t>CUSTO MENSAL DO PLANO CONTROLE – CAMPUS JK (VIG. SUPERVISOR)</t>
  </si>
  <si>
    <t>CUSTO MENSAL DOS EQUIPAMENTOS – CAMPUS JK (VIG. SUPERVISOR)</t>
  </si>
  <si>
    <t>CUSTO MENSAL DOS UNIFORMES – CAMPUS JK (VIG. SUPERVISOR)</t>
  </si>
  <si>
    <t>O POSTO EM QUESTÃO CONTÉM APENAS UM FUCIONÁRIO (44 HORAS SEMANAIS), DESSA FORMA,
O VALOR RATEADO CORRESPONDE AO CUSTO DO POSTO.</t>
  </si>
  <si>
    <t>ANEXO VIII – PLANILHA DE FORMAÇÃO DE PREÇO MÉDIO</t>
  </si>
  <si>
    <t>PLANILHA RESUMO</t>
  </si>
  <si>
    <t>LOCAL</t>
  </si>
  <si>
    <t>POSTO</t>
  </si>
  <si>
    <t>QUANTIDADE</t>
  </si>
  <si>
    <t>VALOR UNITÁRIO</t>
  </si>
  <si>
    <t>VALOR ANUAL</t>
  </si>
  <si>
    <t>I – 1 (um) posto de vigilância armada noturno no Campus I localizado na Rua da Glória, n.° 187, centro, Diamantina/MG, CEP 39.100-000 que adotará a seguinte escala de trabalho:</t>
  </si>
  <si>
    <t>12 horas noturnas, de segunda-feira a domingo, envolvendo 2 (dois) vigilantes armados por posto, em turno de 12(doze) x 36 (trinta e seis) horas, no horário de 18:00 às 06:00 horas.</t>
  </si>
  <si>
    <t>II – 2 (dois) postos de vigilância armada diurna motorizada (Moto) no Campus JK localizado na Rodovia MGT 367 - Km 583, nº 5000, Alto da Jacuba, Diamantina/MG, CEP 39.100-000, que adotará a seguinte escala de trabalho:</t>
  </si>
  <si>
    <t>12 horas diurnas, de segunda-feira a domingo, envolvendo 2 (dois) vigilantes armados por posto, em turno de 12(doze) x 36 (trinta e seis) horas, no horário de 06:00 às 18:00 horas.</t>
  </si>
  <si>
    <t>III – 1 (um) posto de vigilância armada diurna motorizado (Carro) no Campus JK localizado na Rodovia MGT 367 - Km 583, nº 5000, Alto da Jacuba, Diamantina/MG, CEP 39.100-000, que adotará a seguinte escala de trabalho:</t>
  </si>
  <si>
    <t>IV –1 (um) posto de vigilância armada diurna no Campus JK localizado na Rodovia MGT 367 - Km 583, nº 5000, Alto da Jacuba, Diamantina/MG, CEP 39.100-000, que adotará a seguinte escala de trabalho:</t>
  </si>
  <si>
    <t>V – 2 (dois) postos de vigilância armada noturna motorizado (Moto) no Campus JK localizado na Rodovia MGT 367 - Km 583, nº 5000, Alto da Jacuba, Diamantina/MG, CEP 39.100-000, que adotará a seguinte escala de trabalho:</t>
  </si>
  <si>
    <t>VI – 1 (um) posto de vigilância armada noturna motorizado (Carro) no Campus JK localizado na Rodovia MGT 367 - Km 583, nº 5000, Alto da Jacuba, Diamantina/MG, CEP 39.100-000, que adotará a seguinte escala de trabalho:</t>
  </si>
  <si>
    <t>VII – 2 (dois) postos de vigilância armada noturna no Campus JK localizado na Rodovia MGT 367 - Km 583, nº 5000, Alto da Jacuba, Diamantina/MG, CEP 39.100-000, que adotará a seguinte escala de trabalho:</t>
  </si>
  <si>
    <t>VIII – 1 (um) posto de vigilância armada noturna na Fazenda Experimental do Rio Manso localizada na Rodovia MGT 367, S/N, Couto de Magalhães de Minas/MG, CEP 39.188-000, que adotará a seguinte escala de trabalho:</t>
  </si>
  <si>
    <t>IX – 1 (um) posto de vigilância armada diurna na Fazenda Experimental do Rio Manso localizada na Rodovia MGT 367, S/N, Couto de Magalhães de Minas/MG, CEP 39.188-000, que adotará a seguinte escala de trabalho:</t>
  </si>
  <si>
    <t>X – 1 (um) posto de vigilância armada noturna motorizado (Moto) na Fazenda Experimental do Moura localizada na Rodovia LMG 754 – Km 07, Curvelo/MG, CEP 35.790-000, que adotará a seguinte escala de trabalho:</t>
  </si>
  <si>
    <t>XI – 1 (um) posto de vigilância armada diurna motorizado (Moto) na Fazenda Experimental do Moura localizada na Rodovia LMG 754 – Km 07, Curvelo/MG, CEP 35.790-000, que adotará a seguinte escala de trabalho:</t>
  </si>
  <si>
    <t>12 horas noturnas, de segunda-feira a domingo, envolvendo 2 (dois) vigilantes armados por posto, em turno de 12(doze) x 36 (trinta e seis) horas, no horário de 06:00 às 18:00 horas.</t>
  </si>
  <si>
    <t>XII – 04 postos de vigilância desarmada noturna na Moradia Estudantil Universitária em Diamantina/MG, que adotará a seguinte escala de trabalho:</t>
  </si>
  <si>
    <t>12 horas noturnas, de segunda-feira a domingo, envolvendo 2 (dois) vigilantes por posto, em turno de 12(doze) x 36 (trinta e seis) horas, no horário de 18:00 às 06:00 horas.</t>
  </si>
  <si>
    <r>
      <t>XIII– 1 (um) posto de vigilante coordenador para atender concomitantemente os </t>
    </r>
    <r>
      <rPr>
        <i val="true"/>
        <sz val="10"/>
        <color rgb="FF000000"/>
        <rFont val="Verdana"/>
        <family val="2"/>
        <charset val="1"/>
      </rPr>
      <t>Campi</t>
    </r>
    <r>
      <rPr>
        <sz val="10"/>
        <color rgb="FF000000"/>
        <rFont val="Verdana"/>
        <family val="2"/>
        <charset val="1"/>
      </rPr>
      <t> I e JK, a Moradia Estudantil Universitária, todos localizados na cidade de Diamantina/MG, assim como a Fazenda Experimental do Rio Manso localizada em Couto de Magalhães de Minas/MG e a Fazenda Experimental do Moura na cidade de Curvelo/MG, que adotará a seguinte escala de trabalho:</t>
    </r>
  </si>
  <si>
    <t>44 horas semanais, de segunda-feira a sábado, sendo que de segunda a sexta-feira trabalhará de 08:00 às 18:00 horas, e aos sábados das 08:00 às 12:00 horas.</t>
  </si>
  <si>
    <t>TOTAL</t>
  </si>
  <si>
    <t>OS VALORES MÉDIOS PARA CONTRATAÇÃO DOS SERVIÇOS DE VIGILANTE, BEM COMO A FUNDAMENTAÇLÃO LEGAL DOS CUSTOS, ESTÃO EM CONFORMIDADE COM O MANUAL DE ORIENTAÇÃO PARA PREENCHIMENTO DA PLANILHA DE CUSTOS E FORMAÇÃO DE PREÇOS DA IN Nº 02/2018 E COM O CADERNO DE LOGÍSTICA – PRESTAÇÃO DE SERVIÇOS DE VIGILÂNCIA, AMBOS DISPONÍVEIS NO SÍTIO DO comprasgovernamentais.gov.br</t>
  </si>
  <si>
    <r>
      <t>OBSERVAÇÃO</t>
    </r>
    <r>
      <rPr>
        <sz val="11"/>
        <color rgb="FF000000"/>
        <rFont val="Verdana"/>
        <family val="2"/>
        <charset val="1"/>
      </rPr>
      <t>: CONSIDERANDO NÃO HAVER TRANSPORTE COLETIVO PARA TODOS OS DIAS E HORÁRIOS DETERMINADOS NO TERMO DE REFERÊNCIA PARA TODOS OS POSTOS DE VIGILÂNCIA 12X36, O CUSTO DO ITEM TRANSPORTE ( MÓDULO 02 BENEFÍCIOS MENSAIS E DIÁRIOS DA PLANILHA DE CUSTOS E FORMAÇÃO DE PREÇOS) DEVERÁ SER COTADO PARA COMPOR AS DESPESAS COM O TRANSPORTE DO FUNCIONÁRIO AO LOCAL DE TRABALHO.</t>
    </r>
  </si>
</sst>
</file>

<file path=xl/styles.xml><?xml version="1.0" encoding="utf-8"?>
<styleSheet xmlns="http://schemas.openxmlformats.org/spreadsheetml/2006/main">
  <numFmts count="17">
    <numFmt numFmtId="164" formatCode="GENERAL"/>
    <numFmt numFmtId="165" formatCode="&quot; R$ &quot;#,##0.00\ ;&quot; R$ (&quot;#,##0.00\);&quot; R$ -&quot;#\ ;@\ "/>
    <numFmt numFmtId="166" formatCode="DD/MM/YYYY"/>
    <numFmt numFmtId="167" formatCode="&quot; R$ &quot;#,##0.00\ ;&quot;-R$ &quot;#,##0.00\ ;&quot; R$ -&quot;#\ ;@\ "/>
    <numFmt numFmtId="168" formatCode="0%"/>
    <numFmt numFmtId="169" formatCode="0"/>
    <numFmt numFmtId="170" formatCode="0.00"/>
    <numFmt numFmtId="171" formatCode="0.00%"/>
    <numFmt numFmtId="172" formatCode="0.000%"/>
    <numFmt numFmtId="173" formatCode="[$R$-416]\ #,##0.00;[RED]\-[$R$-416]\ #,##0.00"/>
    <numFmt numFmtId="174" formatCode="#,##0.00\ ;\-#,##0.00\ ;\-#\ ;@\ "/>
    <numFmt numFmtId="175" formatCode="0.0"/>
    <numFmt numFmtId="176" formatCode="0.0000"/>
    <numFmt numFmtId="177" formatCode="#,##0.00"/>
    <numFmt numFmtId="178" formatCode="[$R$-416]\ #,##0.00;\-[$R$-416]\ #,##0.00"/>
    <numFmt numFmtId="179" formatCode="#,##0"/>
    <numFmt numFmtId="180" formatCode="[$R$-416]\ #,##0.00;[RED][$R$-416]\ #,##0.00"/>
  </numFmts>
  <fonts count="33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b val="true"/>
      <sz val="12"/>
      <color rgb="FF000000"/>
      <name val="Arial Narrow"/>
      <family val="2"/>
      <charset val="1"/>
    </font>
    <font>
      <sz val="12"/>
      <color rgb="FF000000"/>
      <name val="Arial Narrow"/>
      <family val="2"/>
      <charset val="1"/>
    </font>
    <font>
      <b val="true"/>
      <sz val="10"/>
      <color rgb="FF000000"/>
      <name val="Arial Narrow"/>
      <family val="2"/>
      <charset val="1"/>
    </font>
    <font>
      <sz val="11"/>
      <color rgb="FF000000"/>
      <name val="Arial Narrow"/>
      <family val="2"/>
      <charset val="1"/>
    </font>
    <font>
      <sz val="10"/>
      <color rgb="FF000000"/>
      <name val="Arial Narrow"/>
      <family val="2"/>
      <charset val="1"/>
    </font>
    <font>
      <sz val="12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color rgb="FF0000FF"/>
      <name val="Arial Narrow"/>
      <family val="2"/>
      <charset val="1"/>
    </font>
    <font>
      <sz val="11"/>
      <color rgb="FF000000"/>
      <name val="Calibri"/>
      <family val="2"/>
      <charset val="1"/>
    </font>
    <font>
      <b val="true"/>
      <sz val="12"/>
      <color rgb="FFFF0000"/>
      <name val="Arial Narrow"/>
      <family val="2"/>
      <charset val="1"/>
    </font>
    <font>
      <sz val="12"/>
      <name val="Arial Narrow"/>
      <family val="2"/>
      <charset val="1"/>
    </font>
    <font>
      <sz val="12"/>
      <color rgb="FF000000"/>
      <name val="Aria,l Narrow"/>
      <family val="2"/>
      <charset val="1"/>
    </font>
    <font>
      <sz val="11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4"/>
      <color rgb="FF000000"/>
      <name val="Verdana"/>
      <family val="2"/>
      <charset val="1"/>
    </font>
    <font>
      <b val="true"/>
      <sz val="12"/>
      <color rgb="FF000000"/>
      <name val="Verdana"/>
      <family val="2"/>
      <charset val="1"/>
    </font>
    <font>
      <sz val="12"/>
      <color rgb="FF000000"/>
      <name val="Verdana"/>
      <family val="2"/>
      <charset val="1"/>
    </font>
    <font>
      <sz val="12"/>
      <name val="Verdana"/>
      <family val="2"/>
      <charset val="1"/>
    </font>
    <font>
      <sz val="12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2"/>
      <color rgb="FFFF0000"/>
      <name val="Verdana"/>
      <family val="2"/>
      <charset val="1"/>
    </font>
    <font>
      <b val="true"/>
      <sz val="12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Verdana"/>
      <family val="2"/>
      <charset val="1"/>
    </font>
    <font>
      <i val="true"/>
      <sz val="10"/>
      <color rgb="FF000000"/>
      <name val="Verdana"/>
      <family val="2"/>
      <charset val="1"/>
    </font>
    <font>
      <u val="single"/>
      <sz val="11"/>
      <color rgb="FF000000"/>
      <name val="Arial"/>
      <family val="2"/>
      <charset val="1"/>
    </font>
    <font>
      <sz val="11"/>
      <color rgb="FF000000"/>
      <name val="Verdana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66FFFF"/>
        <bgColor rgb="FF33CCCC"/>
      </patternFill>
    </fill>
    <fill>
      <patternFill patternType="solid">
        <fgColor rgb="FF99FF66"/>
        <bgColor rgb="FF99CC00"/>
      </patternFill>
    </fill>
    <fill>
      <patternFill patternType="solid">
        <fgColor rgb="FF00CCFF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FF3333"/>
        <bgColor rgb="FFFF0000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8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2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0" borderId="1" xfId="2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6" fillId="2" borderId="0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0" borderId="1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0" borderId="1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5" fillId="0" borderId="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1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6" fillId="0" borderId="1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6" fillId="0" borderId="0" xfId="2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8" fontId="6" fillId="0" borderId="1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6" fillId="0" borderId="0" xfId="2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8" fontId="6" fillId="0" borderId="1" xfId="22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1" xfId="2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5" fillId="0" borderId="1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6" fillId="0" borderId="1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6" fillId="0" borderId="1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2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6" fillId="0" borderId="0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0" fontId="6" fillId="0" borderId="0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0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0" borderId="0" xfId="2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5" fillId="0" borderId="1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1" xfId="2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71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0" borderId="0" xfId="20" applyFont="true" applyBorder="true" applyAlignment="true" applyProtection="true">
      <alignment horizontal="justify" vertical="bottom" textRotation="0" wrapText="false" indent="0" shrinkToFit="false"/>
      <protection locked="false" hidden="false"/>
    </xf>
    <xf numFmtId="164" fontId="12" fillId="2" borderId="0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5" fillId="0" borderId="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5" fillId="0" borderId="0" xfId="20" applyFont="true" applyBorder="true" applyAlignment="true" applyProtection="true">
      <alignment horizontal="justify" vertical="center" textRotation="0" wrapText="false" indent="0" shrinkToFit="false"/>
      <protection locked="false" hidden="false"/>
    </xf>
    <xf numFmtId="164" fontId="12" fillId="0" borderId="0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2" fontId="6" fillId="2" borderId="1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6" fillId="0" borderId="0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0" borderId="0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2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2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1" fontId="6" fillId="0" borderId="1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1" fontId="5" fillId="0" borderId="1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1" xfId="2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5" fillId="2" borderId="0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2" fontId="6" fillId="0" borderId="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0" borderId="0" xfId="19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5" fillId="0" borderId="1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1" fillId="0" borderId="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6" fillId="0" borderId="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4" fontId="6" fillId="0" borderId="1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20" applyFont="true" applyBorder="true" applyAlignment="true" applyProtection="true">
      <alignment horizontal="justify" vertical="center" textRotation="0" wrapText="true" indent="0" shrinkToFit="false"/>
      <protection locked="false" hidden="false"/>
    </xf>
    <xf numFmtId="176" fontId="5" fillId="3" borderId="1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3" borderId="1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5" fillId="3" borderId="1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3" fontId="5" fillId="3" borderId="1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5" fontId="5" fillId="0" borderId="0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6" fillId="0" borderId="1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7" fontId="5" fillId="0" borderId="1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5" fillId="0" borderId="1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8" fontId="6" fillId="0" borderId="1" xfId="21" applyFont="true" applyBorder="true" applyAlignment="true" applyProtection="true">
      <alignment horizontal="justify" vertical="bottom" textRotation="0" wrapText="false" indent="0" shrinkToFit="false"/>
      <protection locked="false" hidden="false"/>
    </xf>
    <xf numFmtId="178" fontId="5" fillId="0" borderId="1" xfId="21" applyFont="true" applyBorder="true" applyAlignment="true" applyProtection="true">
      <alignment horizontal="justify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2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6" fillId="0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6" fillId="0" borderId="0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6" fillId="0" borderId="0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4" fillId="0" borderId="0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0" borderId="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3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6" fillId="0" borderId="0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6" fillId="0" borderId="0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2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6" fillId="0" borderId="0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1" fontId="6" fillId="0" borderId="0" xfId="19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15" fillId="0" borderId="1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1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21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1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9" fontId="21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1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21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5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5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2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6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20" fillId="6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7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20" fillId="7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8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20" fillId="8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9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77" fontId="21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5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21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0" fontId="21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9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2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2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71" fontId="21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20" fillId="5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5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2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20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4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27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27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9" fillId="0" borderId="4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73" fontId="27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4" borderId="0" xfId="0" applyFont="true" applyBorder="true" applyAlignment="true" applyProtection="false">
      <alignment horizontal="justify" vertical="center" textRotation="0" wrapText="false" indent="0" shrinkToFit="false"/>
      <protection locked="true" hidden="false"/>
    </xf>
  </cellXfs>
  <cellStyles count="10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cel Built-in Excel Built-in Excel Built-in Excel Built-in Excel Built-in Excel Built-in Excel Built-in Excel Built-in Normal 4" xfId="20" builtinId="53" customBuiltin="true"/>
    <cellStyle name="Excel Built-in Excel Built-in Excel Built-in Excel Built-in Excel Built-in Excel Built-in Excel Built-in Excel Built-in Excel Built-in Moeda 6" xfId="21" builtinId="53" customBuiltin="true"/>
    <cellStyle name="Excel Built-in Excel Built-in Excel Built-in Excel Built-in Excel Built-in Excel Built-in Excel Built-in Excel Built-in Excel Built-in Porcentagem 3" xfId="22" builtinId="53" customBuiltin="true"/>
    <cellStyle name="Excel Built-in Excel Built-in Excel Built-in Excel Built-in Excel Built-in Excel Built-in Excel Built-in Excel Built-in Excel Built-in Normal 2" xfId="23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99"/>
      <rgbColor rgb="FF66FF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2:125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E44" activeCellId="0" sqref="E44"/>
    </sheetView>
  </sheetViews>
  <sheetFormatPr defaultRowHeight="14.05"/>
  <cols>
    <col collapsed="false" hidden="false" max="1" min="1" style="0" width="3.32093023255814"/>
    <col collapsed="false" hidden="false" max="2" min="2" style="0" width="5.29302325581395"/>
    <col collapsed="false" hidden="false" max="3" min="3" style="0" width="60.7906976744186"/>
    <col collapsed="false" hidden="false" max="4" min="4" style="0" width="16.246511627907"/>
    <col collapsed="false" hidden="false" max="5" min="5" style="0" width="19.6883720930233"/>
    <col collapsed="false" hidden="false" max="6" min="6" style="0" width="13.906976744186"/>
    <col collapsed="false" hidden="false" max="1025" min="7" style="0" width="8.36744186046512"/>
  </cols>
  <sheetData>
    <row r="2" customFormat="false" ht="15.25" hidden="false" customHeight="false" outlineLevel="0" collapsed="false">
      <c r="B2" s="1"/>
      <c r="C2" s="1"/>
    </row>
    <row r="3" customFormat="false" ht="14.05" hidden="false" customHeight="false" outlineLevel="0" collapsed="false">
      <c r="B3" s="2" t="s">
        <v>0</v>
      </c>
      <c r="C3" s="2"/>
      <c r="D3" s="2"/>
      <c r="E3" s="2"/>
      <c r="F3" s="3"/>
    </row>
    <row r="4" customFormat="false" ht="14.05" hidden="false" customHeight="false" outlineLevel="0" collapsed="false">
      <c r="B4" s="2"/>
      <c r="C4" s="2"/>
      <c r="D4" s="2"/>
      <c r="E4" s="2"/>
      <c r="F4" s="3"/>
    </row>
    <row r="5" customFormat="false" ht="14.05" hidden="false" customHeight="false" outlineLevel="0" collapsed="false">
      <c r="B5" s="2"/>
      <c r="C5" s="2"/>
      <c r="D5" s="2"/>
      <c r="E5" s="2"/>
      <c r="F5" s="3"/>
    </row>
    <row r="6" customFormat="false" ht="15.25" hidden="false" customHeight="false" outlineLevel="0" collapsed="false">
      <c r="B6" s="4" t="s">
        <v>1</v>
      </c>
      <c r="C6" s="4"/>
      <c r="D6" s="5"/>
      <c r="E6" s="5"/>
      <c r="F6" s="3"/>
    </row>
    <row r="7" customFormat="false" ht="15.25" hidden="false" customHeight="false" outlineLevel="0" collapsed="false">
      <c r="B7" s="4" t="s">
        <v>2</v>
      </c>
      <c r="C7" s="4"/>
      <c r="D7" s="5"/>
      <c r="E7" s="5"/>
      <c r="F7" s="3"/>
    </row>
    <row r="8" customFormat="false" ht="15.25" hidden="false" customHeight="false" outlineLevel="0" collapsed="false">
      <c r="B8" s="4" t="s">
        <v>3</v>
      </c>
      <c r="C8" s="4"/>
      <c r="D8" s="5"/>
      <c r="E8" s="5"/>
      <c r="F8" s="3"/>
    </row>
    <row r="9" customFormat="false" ht="15.25" hidden="false" customHeight="false" outlineLevel="0" collapsed="false">
      <c r="B9" s="4" t="s">
        <v>4</v>
      </c>
      <c r="C9" s="4"/>
      <c r="D9" s="5"/>
      <c r="E9" s="5"/>
      <c r="F9" s="3"/>
    </row>
    <row r="10" customFormat="false" ht="15.25" hidden="false" customHeight="false" outlineLevel="0" collapsed="false">
      <c r="B10" s="2" t="s">
        <v>5</v>
      </c>
      <c r="C10" s="2"/>
      <c r="D10" s="2"/>
      <c r="E10" s="2"/>
      <c r="F10" s="3"/>
    </row>
    <row r="11" customFormat="false" ht="15.25" hidden="false" customHeight="false" outlineLevel="0" collapsed="false">
      <c r="B11" s="6" t="s">
        <v>6</v>
      </c>
      <c r="C11" s="6" t="s">
        <v>7</v>
      </c>
      <c r="D11" s="5"/>
      <c r="E11" s="5"/>
      <c r="F11" s="3"/>
    </row>
    <row r="12" customFormat="false" ht="15.25" hidden="false" customHeight="false" outlineLevel="0" collapsed="false">
      <c r="B12" s="6" t="s">
        <v>8</v>
      </c>
      <c r="C12" s="6" t="s">
        <v>9</v>
      </c>
      <c r="D12" s="2" t="s">
        <v>10</v>
      </c>
      <c r="E12" s="2"/>
      <c r="F12" s="3"/>
    </row>
    <row r="13" customFormat="false" ht="15.25" hidden="false" customHeight="false" outlineLevel="0" collapsed="false">
      <c r="B13" s="6" t="s">
        <v>11</v>
      </c>
      <c r="C13" s="7" t="s">
        <v>12</v>
      </c>
      <c r="D13" s="2" t="s">
        <v>13</v>
      </c>
      <c r="E13" s="2"/>
      <c r="F13" s="3"/>
    </row>
    <row r="14" customFormat="false" ht="15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  <c r="F14" s="3"/>
    </row>
    <row r="15" s="8" customFormat="true" ht="15.25" hidden="false" customHeight="false" outlineLevel="0" collapsed="false">
      <c r="B15" s="2" t="s">
        <v>16</v>
      </c>
      <c r="C15" s="2"/>
      <c r="D15" s="2"/>
      <c r="E15" s="2"/>
      <c r="F15" s="3"/>
      <c r="AMJ15" s="0"/>
    </row>
    <row r="16" customFormat="false" ht="63.75" hidden="false" customHeight="true" outlineLevel="0" collapsed="false">
      <c r="B16" s="9" t="s">
        <v>17</v>
      </c>
      <c r="C16" s="9"/>
      <c r="D16" s="9" t="s">
        <v>18</v>
      </c>
      <c r="E16" s="9" t="s">
        <v>19</v>
      </c>
      <c r="F16" s="3"/>
    </row>
    <row r="17" customFormat="false" ht="15.25" hidden="false" customHeight="false" outlineLevel="0" collapsed="false">
      <c r="B17" s="2" t="s">
        <v>20</v>
      </c>
      <c r="C17" s="2"/>
      <c r="D17" s="6" t="s">
        <v>21</v>
      </c>
      <c r="E17" s="2" t="n">
        <v>1</v>
      </c>
      <c r="F17" s="3"/>
    </row>
    <row r="18" customFormat="false" ht="15.25" hidden="false" customHeight="false" outlineLevel="0" collapsed="false">
      <c r="B18" s="2" t="s">
        <v>22</v>
      </c>
      <c r="C18" s="2"/>
      <c r="D18" s="2"/>
      <c r="E18" s="2"/>
      <c r="F18" s="3"/>
    </row>
    <row r="19" customFormat="false" ht="14.9" hidden="false" customHeight="false" outlineLevel="0" collapsed="false">
      <c r="B19" s="2" t="s">
        <v>23</v>
      </c>
      <c r="C19" s="2"/>
      <c r="D19" s="2"/>
      <c r="E19" s="2"/>
      <c r="F19" s="3"/>
    </row>
    <row r="20" customFormat="false" ht="15.25" hidden="false" customHeight="false" outlineLevel="0" collapsed="false">
      <c r="B20" s="10" t="n">
        <v>1</v>
      </c>
      <c r="C20" s="6" t="s">
        <v>24</v>
      </c>
      <c r="D20" s="11" t="s">
        <v>25</v>
      </c>
      <c r="E20" s="11"/>
      <c r="F20" s="3"/>
    </row>
    <row r="21" customFormat="false" ht="15.25" hidden="false" customHeight="false" outlineLevel="0" collapsed="false">
      <c r="B21" s="10" t="n">
        <v>2</v>
      </c>
      <c r="C21" s="6" t="s">
        <v>26</v>
      </c>
      <c r="D21" s="12" t="n">
        <v>1602.86</v>
      </c>
      <c r="E21" s="12"/>
      <c r="F21" s="3"/>
    </row>
    <row r="22" customFormat="false" ht="15.25" hidden="false" customHeight="false" outlineLevel="0" collapsed="false">
      <c r="B22" s="10" t="n">
        <v>3</v>
      </c>
      <c r="C22" s="6" t="s">
        <v>27</v>
      </c>
      <c r="D22" s="11" t="s">
        <v>25</v>
      </c>
      <c r="E22" s="11"/>
      <c r="F22" s="3"/>
    </row>
    <row r="23" customFormat="false" ht="15.25" hidden="false" customHeight="false" outlineLevel="0" collapsed="false">
      <c r="B23" s="10" t="n">
        <v>4</v>
      </c>
      <c r="C23" s="6" t="s">
        <v>28</v>
      </c>
      <c r="D23" s="13" t="n">
        <v>42736</v>
      </c>
      <c r="E23" s="13"/>
      <c r="F23" s="3"/>
    </row>
    <row r="24" customFormat="false" ht="15.25" hidden="false" customHeight="false" outlineLevel="0" collapsed="false">
      <c r="B24" s="2" t="s">
        <v>29</v>
      </c>
      <c r="C24" s="2"/>
      <c r="D24" s="2"/>
      <c r="E24" s="2"/>
      <c r="F24" s="3"/>
    </row>
    <row r="25" customFormat="false" ht="15.25" hidden="false" customHeight="false" outlineLevel="0" collapsed="false">
      <c r="B25" s="2" t="n">
        <v>1</v>
      </c>
      <c r="C25" s="2" t="s">
        <v>30</v>
      </c>
      <c r="D25" s="10" t="s">
        <v>31</v>
      </c>
      <c r="E25" s="14" t="s">
        <v>32</v>
      </c>
      <c r="F25" s="3"/>
    </row>
    <row r="26" customFormat="false" ht="15.25" hidden="false" customHeight="false" outlineLevel="0" collapsed="false">
      <c r="B26" s="10" t="s">
        <v>6</v>
      </c>
      <c r="C26" s="6" t="s">
        <v>33</v>
      </c>
      <c r="D26" s="6"/>
      <c r="E26" s="15" t="n">
        <f aca="false">D21</f>
        <v>1602.86</v>
      </c>
      <c r="F26" s="16"/>
    </row>
    <row r="27" customFormat="false" ht="15.25" hidden="false" customHeight="false" outlineLevel="0" collapsed="false">
      <c r="B27" s="10" t="s">
        <v>8</v>
      </c>
      <c r="C27" s="6" t="s">
        <v>34</v>
      </c>
      <c r="D27" s="17" t="n">
        <v>0.3</v>
      </c>
      <c r="E27" s="15" t="n">
        <f aca="false">E26*0.3</f>
        <v>480.858</v>
      </c>
      <c r="F27" s="18"/>
    </row>
    <row r="28" customFormat="false" ht="15.25" hidden="false" customHeight="false" outlineLevel="0" collapsed="false">
      <c r="B28" s="10" t="s">
        <v>11</v>
      </c>
      <c r="C28" s="6" t="s">
        <v>35</v>
      </c>
      <c r="D28" s="17" t="n">
        <v>0.6</v>
      </c>
      <c r="E28" s="15" t="n">
        <f aca="false">(E26+E27)/220*1.6*15</f>
        <v>227.314690909091</v>
      </c>
      <c r="F28" s="18"/>
    </row>
    <row r="29" customFormat="false" ht="15.25" hidden="false" customHeight="false" outlineLevel="0" collapsed="false">
      <c r="B29" s="10" t="s">
        <v>14</v>
      </c>
      <c r="C29" s="6" t="s">
        <v>36</v>
      </c>
      <c r="D29" s="17" t="n">
        <v>0.4</v>
      </c>
      <c r="E29" s="15" t="n">
        <f aca="false">(E26+E27)/220*0.4*8*15</f>
        <v>454.629381818182</v>
      </c>
      <c r="F29" s="18"/>
    </row>
    <row r="30" customFormat="false" ht="15.9" hidden="false" customHeight="false" outlineLevel="0" collapsed="false">
      <c r="B30" s="10" t="s">
        <v>37</v>
      </c>
      <c r="C30" s="6" t="s">
        <v>38</v>
      </c>
      <c r="D30" s="6" t="n">
        <v>16</v>
      </c>
      <c r="E30" s="15" t="n">
        <f aca="false">(((E26+E27)*2)/220)*8</f>
        <v>151.543127272727</v>
      </c>
      <c r="F30" s="18"/>
    </row>
    <row r="31" customFormat="false" ht="15.9" hidden="false" customHeight="false" outlineLevel="0" collapsed="false">
      <c r="B31" s="10" t="s">
        <v>39</v>
      </c>
      <c r="C31" s="6" t="s">
        <v>40</v>
      </c>
      <c r="D31" s="19"/>
      <c r="E31" s="15" t="n">
        <f aca="false">(E28+E29+E30)*5/25</f>
        <v>166.69744</v>
      </c>
      <c r="F31" s="18"/>
    </row>
    <row r="32" customFormat="false" ht="15.25" hidden="false" customHeight="false" outlineLevel="0" collapsed="false">
      <c r="B32" s="20" t="s">
        <v>41</v>
      </c>
      <c r="C32" s="20"/>
      <c r="D32" s="20"/>
      <c r="E32" s="21" t="n">
        <f aca="false">SUM(E26:E31)</f>
        <v>3083.90264</v>
      </c>
      <c r="F32" s="22"/>
    </row>
    <row r="33" customFormat="false" ht="15.25" hidden="false" customHeight="false" outlineLevel="0" collapsed="false">
      <c r="B33" s="2" t="s">
        <v>42</v>
      </c>
      <c r="C33" s="2"/>
      <c r="D33" s="2"/>
      <c r="E33" s="2"/>
      <c r="F33" s="22"/>
    </row>
    <row r="34" customFormat="false" ht="15.25" hidden="false" customHeight="false" outlineLevel="0" collapsed="false">
      <c r="B34" s="2" t="n">
        <v>2</v>
      </c>
      <c r="C34" s="2" t="s">
        <v>43</v>
      </c>
      <c r="D34" s="10"/>
      <c r="E34" s="2" t="s">
        <v>32</v>
      </c>
      <c r="F34" s="16"/>
    </row>
    <row r="35" customFormat="false" ht="15.25" hidden="false" customHeight="false" outlineLevel="0" collapsed="false">
      <c r="B35" s="10" t="s">
        <v>6</v>
      </c>
      <c r="C35" s="6" t="s">
        <v>44</v>
      </c>
      <c r="D35" s="23"/>
      <c r="E35" s="24" t="n">
        <f aca="false">'Equipamentos Campus I'!H107</f>
        <v>160.714285714286</v>
      </c>
      <c r="F35" s="25"/>
    </row>
    <row r="36" customFormat="false" ht="15.25" hidden="false" customHeight="false" outlineLevel="0" collapsed="false">
      <c r="B36" s="10" t="s">
        <v>8</v>
      </c>
      <c r="C36" s="6" t="s">
        <v>45</v>
      </c>
      <c r="D36" s="23" t="n">
        <v>15.99</v>
      </c>
      <c r="E36" s="24" t="n">
        <f aca="false">D36*0.9*15</f>
        <v>215.865</v>
      </c>
      <c r="F36" s="26"/>
    </row>
    <row r="37" customFormat="false" ht="15.25" hidden="false" customHeight="false" outlineLevel="0" collapsed="false">
      <c r="B37" s="10" t="s">
        <v>11</v>
      </c>
      <c r="C37" s="6" t="s">
        <v>46</v>
      </c>
      <c r="D37" s="23"/>
      <c r="E37" s="23" t="n">
        <v>112.9</v>
      </c>
      <c r="F37" s="3"/>
    </row>
    <row r="38" customFormat="false" ht="15.25" hidden="false" customHeight="false" outlineLevel="0" collapsed="false">
      <c r="B38" s="10" t="s">
        <v>14</v>
      </c>
      <c r="C38" s="6" t="s">
        <v>47</v>
      </c>
      <c r="D38" s="6"/>
      <c r="E38" s="23" t="n">
        <v>91.08</v>
      </c>
      <c r="F38" s="3"/>
    </row>
    <row r="39" customFormat="false" ht="15.25" hidden="false" customHeight="false" outlineLevel="0" collapsed="false">
      <c r="B39" s="10" t="s">
        <v>37</v>
      </c>
      <c r="C39" s="6" t="s">
        <v>48</v>
      </c>
      <c r="D39" s="23"/>
      <c r="E39" s="23" t="n">
        <f aca="false">'Média Insumos e benefícios'!E4</f>
        <v>19.0666666666667</v>
      </c>
      <c r="F39" s="27"/>
    </row>
    <row r="40" customFormat="false" ht="15.25" hidden="false" customHeight="false" outlineLevel="0" collapsed="false">
      <c r="B40" s="10" t="s">
        <v>39</v>
      </c>
      <c r="C40" s="6" t="s">
        <v>49</v>
      </c>
      <c r="D40" s="23"/>
      <c r="E40" s="23"/>
      <c r="F40" s="28"/>
    </row>
    <row r="41" customFormat="false" ht="18.6" hidden="false" customHeight="true" outlineLevel="0" collapsed="false">
      <c r="B41" s="20" t="s">
        <v>50</v>
      </c>
      <c r="C41" s="20"/>
      <c r="D41" s="20"/>
      <c r="E41" s="21" t="n">
        <f aca="false">SUM(E35:E40)</f>
        <v>599.625952380952</v>
      </c>
      <c r="G41" s="29"/>
      <c r="H41" s="29"/>
      <c r="I41" s="29"/>
    </row>
    <row r="42" customFormat="false" ht="15.65" hidden="false" customHeight="false" outlineLevel="0" collapsed="false">
      <c r="B42" s="2" t="s">
        <v>51</v>
      </c>
      <c r="C42" s="2"/>
      <c r="D42" s="2"/>
      <c r="E42" s="2"/>
      <c r="F42" s="29"/>
    </row>
    <row r="43" customFormat="false" ht="15.25" hidden="false" customHeight="false" outlineLevel="0" collapsed="false">
      <c r="B43" s="2" t="n">
        <v>3</v>
      </c>
      <c r="C43" s="2" t="s">
        <v>52</v>
      </c>
      <c r="D43" s="10" t="s">
        <v>31</v>
      </c>
      <c r="E43" s="2" t="s">
        <v>32</v>
      </c>
      <c r="F43" s="3"/>
      <c r="G43" s="30"/>
      <c r="H43" s="30"/>
    </row>
    <row r="44" customFormat="false" ht="15.9" hidden="false" customHeight="false" outlineLevel="0" collapsed="false">
      <c r="B44" s="10" t="s">
        <v>6</v>
      </c>
      <c r="C44" s="6" t="s">
        <v>53</v>
      </c>
      <c r="D44" s="6"/>
      <c r="E44" s="23" t="n">
        <f aca="false">'Equipamentos Campus I'!H105</f>
        <v>172.134166666667</v>
      </c>
      <c r="F44" s="3"/>
    </row>
    <row r="45" customFormat="false" ht="15.25" hidden="false" customHeight="false" outlineLevel="0" collapsed="false">
      <c r="B45" s="10" t="s">
        <v>8</v>
      </c>
      <c r="C45" s="6" t="s">
        <v>54</v>
      </c>
      <c r="D45" s="6"/>
      <c r="E45" s="23" t="n">
        <f aca="false">'Equipamentos Campus I'!H103</f>
        <v>34.0998333333333</v>
      </c>
      <c r="F45" s="31"/>
    </row>
    <row r="46" customFormat="false" ht="15.25" hidden="false" customHeight="false" outlineLevel="0" collapsed="false">
      <c r="B46" s="10" t="s">
        <v>11</v>
      </c>
      <c r="C46" s="6" t="s">
        <v>55</v>
      </c>
      <c r="D46" s="6"/>
      <c r="E46" s="23" t="n">
        <f aca="false">'Equipamentos Campus I'!H100</f>
        <v>18.48</v>
      </c>
      <c r="F46" s="32"/>
    </row>
    <row r="47" customFormat="false" ht="15.25" hidden="false" customHeight="false" outlineLevel="0" collapsed="false">
      <c r="B47" s="10" t="s">
        <v>14</v>
      </c>
      <c r="C47" s="6" t="s">
        <v>56</v>
      </c>
      <c r="D47" s="6"/>
      <c r="E47" s="23" t="n">
        <v>4</v>
      </c>
      <c r="F47" s="32"/>
    </row>
    <row r="48" customFormat="false" ht="15.25" hidden="false" customHeight="false" outlineLevel="0" collapsed="false">
      <c r="B48" s="10" t="s">
        <v>37</v>
      </c>
      <c r="C48" s="6" t="s">
        <v>57</v>
      </c>
      <c r="D48" s="6"/>
      <c r="E48" s="23" t="n">
        <f aca="false">'Média Insumos e benefícios'!K4</f>
        <v>128.666666666667</v>
      </c>
      <c r="F48" s="32"/>
    </row>
    <row r="49" customFormat="false" ht="15.25" hidden="false" customHeight="false" outlineLevel="0" collapsed="false">
      <c r="B49" s="20" t="s">
        <v>58</v>
      </c>
      <c r="C49" s="20"/>
      <c r="D49" s="20"/>
      <c r="E49" s="33" t="n">
        <f aca="false">SUM(E44:E48)</f>
        <v>357.380666666667</v>
      </c>
      <c r="F49" s="32"/>
    </row>
    <row r="50" customFormat="false" ht="15.25" hidden="false" customHeight="false" outlineLevel="0" collapsed="false">
      <c r="B50" s="2" t="s">
        <v>59</v>
      </c>
      <c r="C50" s="2"/>
      <c r="D50" s="2"/>
      <c r="E50" s="2"/>
    </row>
    <row r="51" customFormat="false" ht="15.25" hidden="false" customHeight="false" outlineLevel="0" collapsed="false">
      <c r="B51" s="34" t="s">
        <v>60</v>
      </c>
      <c r="C51" s="34"/>
      <c r="D51" s="34"/>
      <c r="E51" s="34"/>
      <c r="F51" s="3"/>
    </row>
    <row r="52" customFormat="false" ht="15.25" hidden="false" customHeight="false" outlineLevel="0" collapsed="false">
      <c r="B52" s="2" t="s">
        <v>61</v>
      </c>
      <c r="C52" s="2" t="s">
        <v>62</v>
      </c>
      <c r="D52" s="10" t="s">
        <v>31</v>
      </c>
      <c r="E52" s="2" t="s">
        <v>32</v>
      </c>
      <c r="F52" s="3"/>
    </row>
    <row r="53" customFormat="false" ht="15.25" hidden="false" customHeight="false" outlineLevel="0" collapsed="false">
      <c r="B53" s="10" t="s">
        <v>6</v>
      </c>
      <c r="C53" s="6" t="s">
        <v>63</v>
      </c>
      <c r="D53" s="35" t="n">
        <v>0.2</v>
      </c>
      <c r="E53" s="24" t="n">
        <f aca="false">$E$32*D53</f>
        <v>616.780528</v>
      </c>
      <c r="F53" s="36"/>
    </row>
    <row r="54" customFormat="false" ht="15.25" hidden="false" customHeight="false" outlineLevel="0" collapsed="false">
      <c r="B54" s="10" t="s">
        <v>8</v>
      </c>
      <c r="C54" s="6" t="s">
        <v>64</v>
      </c>
      <c r="D54" s="35" t="n">
        <v>0.015</v>
      </c>
      <c r="E54" s="24" t="n">
        <f aca="false">$E$32*D54</f>
        <v>46.2585396</v>
      </c>
      <c r="F54" s="36"/>
    </row>
    <row r="55" s="37" customFormat="true" ht="15.25" hidden="false" customHeight="false" outlineLevel="0" collapsed="false">
      <c r="B55" s="10" t="s">
        <v>11</v>
      </c>
      <c r="C55" s="6" t="s">
        <v>65</v>
      </c>
      <c r="D55" s="35" t="n">
        <v>0.01</v>
      </c>
      <c r="E55" s="24" t="n">
        <f aca="false">$E$32*D55</f>
        <v>30.8390264</v>
      </c>
      <c r="F55" s="36"/>
      <c r="AMJ55" s="0"/>
    </row>
    <row r="56" customFormat="false" ht="15.25" hidden="false" customHeight="false" outlineLevel="0" collapsed="false">
      <c r="B56" s="10" t="s">
        <v>14</v>
      </c>
      <c r="C56" s="6" t="s">
        <v>66</v>
      </c>
      <c r="D56" s="35" t="n">
        <v>0.002</v>
      </c>
      <c r="E56" s="24" t="n">
        <f aca="false">$E$32*D56</f>
        <v>6.16780528</v>
      </c>
      <c r="F56" s="36"/>
    </row>
    <row r="57" customFormat="false" ht="15.25" hidden="false" customHeight="false" outlineLevel="0" collapsed="false">
      <c r="B57" s="10" t="s">
        <v>37</v>
      </c>
      <c r="C57" s="6" t="s">
        <v>67</v>
      </c>
      <c r="D57" s="35" t="n">
        <v>0.025</v>
      </c>
      <c r="E57" s="24" t="n">
        <f aca="false">$E$32*D57</f>
        <v>77.097566</v>
      </c>
      <c r="F57" s="36"/>
    </row>
    <row r="58" customFormat="false" ht="15.25" hidden="false" customHeight="false" outlineLevel="0" collapsed="false">
      <c r="B58" s="10" t="s">
        <v>39</v>
      </c>
      <c r="C58" s="6" t="s">
        <v>68</v>
      </c>
      <c r="D58" s="35" t="n">
        <v>0.08</v>
      </c>
      <c r="E58" s="24" t="n">
        <f aca="false">$E$32*D58</f>
        <v>246.7122112</v>
      </c>
      <c r="F58" s="36"/>
    </row>
    <row r="59" customFormat="false" ht="15.25" hidden="false" customHeight="false" outlineLevel="0" collapsed="false">
      <c r="B59" s="10" t="s">
        <v>69</v>
      </c>
      <c r="C59" s="6" t="s">
        <v>70</v>
      </c>
      <c r="D59" s="35" t="n">
        <v>0.03</v>
      </c>
      <c r="E59" s="24" t="n">
        <f aca="false">$E$32*D59</f>
        <v>92.5170792</v>
      </c>
      <c r="F59" s="36"/>
    </row>
    <row r="60" customFormat="false" ht="15.25" hidden="false" customHeight="false" outlineLevel="0" collapsed="false">
      <c r="B60" s="10" t="s">
        <v>71</v>
      </c>
      <c r="C60" s="6" t="s">
        <v>72</v>
      </c>
      <c r="D60" s="35" t="n">
        <v>0.006</v>
      </c>
      <c r="E60" s="24" t="n">
        <f aca="false">$E$32*D60</f>
        <v>18.50341584</v>
      </c>
      <c r="F60" s="36"/>
    </row>
    <row r="61" customFormat="false" ht="15.25" hidden="false" customHeight="false" outlineLevel="0" collapsed="false">
      <c r="B61" s="20" t="s">
        <v>73</v>
      </c>
      <c r="C61" s="20"/>
      <c r="D61" s="38" t="n">
        <v>0.368</v>
      </c>
      <c r="E61" s="21" t="n">
        <f aca="false">$E$32*D61</f>
        <v>1134.87617152</v>
      </c>
      <c r="F61" s="39"/>
    </row>
    <row r="62" customFormat="false" ht="15.25" hidden="false" customHeight="false" outlineLevel="0" collapsed="false">
      <c r="B62" s="34" t="s">
        <v>74</v>
      </c>
      <c r="C62" s="34"/>
      <c r="D62" s="34"/>
      <c r="E62" s="34"/>
    </row>
    <row r="63" customFormat="false" ht="15.65" hidden="false" customHeight="false" outlineLevel="0" collapsed="false">
      <c r="B63" s="2" t="s">
        <v>75</v>
      </c>
      <c r="C63" s="34" t="s">
        <v>76</v>
      </c>
      <c r="D63" s="10" t="s">
        <v>31</v>
      </c>
      <c r="E63" s="2" t="s">
        <v>32</v>
      </c>
      <c r="F63" s="40"/>
    </row>
    <row r="64" customFormat="false" ht="15.25" hidden="false" customHeight="false" outlineLevel="0" collapsed="false">
      <c r="B64" s="10" t="s">
        <v>6</v>
      </c>
      <c r="C64" s="6" t="s">
        <v>77</v>
      </c>
      <c r="D64" s="41" t="n">
        <v>0.0833</v>
      </c>
      <c r="E64" s="24" t="n">
        <f aca="false">$E$32*D64</f>
        <v>256.889089912</v>
      </c>
      <c r="F64" s="42"/>
    </row>
    <row r="65" customFormat="false" ht="15.25" hidden="false" customHeight="false" outlineLevel="0" collapsed="false">
      <c r="B65" s="10" t="s">
        <v>8</v>
      </c>
      <c r="C65" s="7" t="s">
        <v>78</v>
      </c>
      <c r="D65" s="41" t="n">
        <f aca="false">D64*D61</f>
        <v>0.0306544</v>
      </c>
      <c r="E65" s="24" t="n">
        <f aca="false">$E$32*D65</f>
        <v>94.535185087616</v>
      </c>
      <c r="F65" s="42"/>
    </row>
    <row r="66" s="37" customFormat="true" ht="15.25" hidden="false" customHeight="false" outlineLevel="0" collapsed="false">
      <c r="B66" s="20" t="s">
        <v>73</v>
      </c>
      <c r="C66" s="20"/>
      <c r="D66" s="41" t="n">
        <v>0.1139544</v>
      </c>
      <c r="E66" s="21" t="n">
        <f aca="false">$E$32*D66</f>
        <v>351.424274999616</v>
      </c>
      <c r="F66" s="42"/>
      <c r="AMJ66" s="0"/>
    </row>
    <row r="67" customFormat="false" ht="17.65" hidden="false" customHeight="true" outlineLevel="0" collapsed="false">
      <c r="B67" s="34" t="s">
        <v>79</v>
      </c>
      <c r="C67" s="34"/>
      <c r="D67" s="34"/>
      <c r="E67" s="34"/>
      <c r="F67" s="32"/>
      <c r="G67" s="43"/>
    </row>
    <row r="68" s="8" customFormat="true" ht="15.25" hidden="false" customHeight="false" outlineLevel="0" collapsed="false">
      <c r="B68" s="2" t="s">
        <v>80</v>
      </c>
      <c r="C68" s="2" t="s">
        <v>81</v>
      </c>
      <c r="D68" s="10" t="s">
        <v>31</v>
      </c>
      <c r="E68" s="2" t="s">
        <v>32</v>
      </c>
      <c r="F68" s="32"/>
      <c r="AMJ68" s="0"/>
    </row>
    <row r="69" customFormat="false" ht="15.25" hidden="false" customHeight="false" outlineLevel="0" collapsed="false">
      <c r="A69" s="8"/>
      <c r="B69" s="10" t="s">
        <v>6</v>
      </c>
      <c r="C69" s="6" t="s">
        <v>81</v>
      </c>
      <c r="D69" s="44" t="n">
        <v>0.00074</v>
      </c>
      <c r="E69" s="24" t="n">
        <f aca="false">$E$32*D69</f>
        <v>2.2820879536</v>
      </c>
      <c r="F69" s="42"/>
    </row>
    <row r="70" customFormat="false" ht="15.25" hidden="false" customHeight="false" outlineLevel="0" collapsed="false">
      <c r="B70" s="10" t="s">
        <v>8</v>
      </c>
      <c r="C70" s="7" t="s">
        <v>82</v>
      </c>
      <c r="D70" s="44" t="n">
        <f aca="false">D69*D61</f>
        <v>0.00027232</v>
      </c>
      <c r="E70" s="24" t="n">
        <f aca="false">$E$32*D70</f>
        <v>0.8398083669248</v>
      </c>
      <c r="F70" s="42"/>
      <c r="G70" s="45"/>
    </row>
    <row r="71" s="37" customFormat="true" ht="15.25" hidden="false" customHeight="false" outlineLevel="0" collapsed="false">
      <c r="B71" s="20" t="s">
        <v>73</v>
      </c>
      <c r="C71" s="20"/>
      <c r="D71" s="46" t="n">
        <v>0.00104</v>
      </c>
      <c r="E71" s="21" t="n">
        <f aca="false">$E$32*D71</f>
        <v>3.2072587456</v>
      </c>
      <c r="F71" s="42"/>
      <c r="G71" s="40"/>
      <c r="AMJ71" s="0"/>
    </row>
    <row r="72" customFormat="false" ht="15.25" hidden="false" customHeight="false" outlineLevel="0" collapsed="false">
      <c r="B72" s="34" t="s">
        <v>83</v>
      </c>
      <c r="C72" s="34"/>
      <c r="D72" s="34"/>
      <c r="E72" s="34"/>
      <c r="G72" s="45"/>
    </row>
    <row r="73" s="8" customFormat="true" ht="15.25" hidden="false" customHeight="false" outlineLevel="0" collapsed="false">
      <c r="B73" s="2" t="s">
        <v>84</v>
      </c>
      <c r="C73" s="2" t="s">
        <v>85</v>
      </c>
      <c r="D73" s="10" t="s">
        <v>31</v>
      </c>
      <c r="E73" s="2" t="s">
        <v>32</v>
      </c>
      <c r="F73" s="32"/>
      <c r="G73" s="45"/>
      <c r="AMJ73" s="0"/>
    </row>
    <row r="74" customFormat="false" ht="15.25" hidden="false" customHeight="false" outlineLevel="0" collapsed="false">
      <c r="A74" s="8"/>
      <c r="B74" s="10" t="s">
        <v>6</v>
      </c>
      <c r="C74" s="6" t="s">
        <v>86</v>
      </c>
      <c r="D74" s="41" t="n">
        <v>0.00416666666666667</v>
      </c>
      <c r="E74" s="24" t="n">
        <f aca="false">$E$32*D74</f>
        <v>12.8495943333333</v>
      </c>
      <c r="F74" s="42"/>
      <c r="G74" s="45"/>
    </row>
    <row r="75" customFormat="false" ht="15.25" hidden="false" customHeight="false" outlineLevel="0" collapsed="false">
      <c r="B75" s="10" t="s">
        <v>8</v>
      </c>
      <c r="C75" s="7" t="s">
        <v>87</v>
      </c>
      <c r="D75" s="41" t="n">
        <v>0.000333333333333333</v>
      </c>
      <c r="E75" s="24" t="n">
        <f aca="false">$E$32*D75</f>
        <v>1.02796754666667</v>
      </c>
      <c r="F75" s="42"/>
    </row>
    <row r="76" s="37" customFormat="true" ht="15.25" hidden="false" customHeight="false" outlineLevel="0" collapsed="false">
      <c r="B76" s="10" t="s">
        <v>11</v>
      </c>
      <c r="C76" s="6" t="s">
        <v>88</v>
      </c>
      <c r="D76" s="41" t="n">
        <v>0.043</v>
      </c>
      <c r="E76" s="24" t="n">
        <f aca="false">$E$32*D76</f>
        <v>132.60781352</v>
      </c>
      <c r="F76" s="42"/>
      <c r="AMJ76" s="0"/>
    </row>
    <row r="77" customFormat="false" ht="15.25" hidden="false" customHeight="false" outlineLevel="0" collapsed="false">
      <c r="B77" s="10" t="s">
        <v>14</v>
      </c>
      <c r="C77" s="6" t="s">
        <v>89</v>
      </c>
      <c r="D77" s="47" t="n">
        <v>0.0194444444444444</v>
      </c>
      <c r="E77" s="24" t="n">
        <f aca="false">$E$32*D77</f>
        <v>59.9647735555554</v>
      </c>
      <c r="F77" s="42"/>
    </row>
    <row r="78" s="8" customFormat="true" ht="15.25" hidden="false" customHeight="false" outlineLevel="0" collapsed="false">
      <c r="B78" s="10" t="s">
        <v>37</v>
      </c>
      <c r="C78" s="7" t="s">
        <v>90</v>
      </c>
      <c r="D78" s="41" t="n">
        <v>0.00715555555555556</v>
      </c>
      <c r="E78" s="24" t="n">
        <f aca="false">$E$32*D78</f>
        <v>22.0670366684445</v>
      </c>
      <c r="F78" s="42"/>
      <c r="AMJ78" s="0"/>
    </row>
    <row r="79" customFormat="false" ht="15.25" hidden="false" customHeight="false" outlineLevel="0" collapsed="false">
      <c r="B79" s="10" t="s">
        <v>39</v>
      </c>
      <c r="C79" s="6" t="s">
        <v>91</v>
      </c>
      <c r="D79" s="41" t="n">
        <v>0.000776</v>
      </c>
      <c r="E79" s="24" t="n">
        <f aca="false">$E$32*D79</f>
        <v>2.39310844864</v>
      </c>
      <c r="F79" s="42"/>
    </row>
    <row r="80" customFormat="false" ht="15.25" hidden="false" customHeight="false" outlineLevel="0" collapsed="false">
      <c r="B80" s="20" t="s">
        <v>73</v>
      </c>
      <c r="C80" s="20"/>
      <c r="D80" s="41" t="n">
        <v>0.074876</v>
      </c>
      <c r="E80" s="21" t="n">
        <f aca="false">$E$32*D80</f>
        <v>230.91029407264</v>
      </c>
      <c r="F80" s="42"/>
    </row>
    <row r="81" s="8" customFormat="true" ht="15.25" hidden="false" customHeight="false" outlineLevel="0" collapsed="false">
      <c r="B81" s="34" t="s">
        <v>92</v>
      </c>
      <c r="C81" s="34"/>
      <c r="D81" s="34"/>
      <c r="E81" s="34"/>
      <c r="F81" s="45"/>
      <c r="AMJ81" s="0"/>
    </row>
    <row r="82" customFormat="false" ht="15.25" hidden="false" customHeight="false" outlineLevel="0" collapsed="false">
      <c r="B82" s="2" t="s">
        <v>93</v>
      </c>
      <c r="C82" s="14" t="s">
        <v>94</v>
      </c>
      <c r="D82" s="48" t="s">
        <v>31</v>
      </c>
      <c r="E82" s="2" t="s">
        <v>32</v>
      </c>
      <c r="F82" s="42"/>
    </row>
    <row r="83" s="8" customFormat="true" ht="15.25" hidden="false" customHeight="false" outlineLevel="0" collapsed="false">
      <c r="B83" s="10" t="s">
        <v>6</v>
      </c>
      <c r="C83" s="6" t="s">
        <v>95</v>
      </c>
      <c r="D83" s="49" t="n">
        <v>0.1111</v>
      </c>
      <c r="E83" s="24" t="n">
        <f aca="false">$E$32*D83</f>
        <v>342.621583304</v>
      </c>
      <c r="F83" s="42"/>
      <c r="AMJ83" s="0"/>
    </row>
    <row r="84" customFormat="false" ht="15.25" hidden="false" customHeight="false" outlineLevel="0" collapsed="false">
      <c r="B84" s="10" t="s">
        <v>8</v>
      </c>
      <c r="C84" s="6" t="s">
        <v>96</v>
      </c>
      <c r="D84" s="49" t="n">
        <v>0.0166</v>
      </c>
      <c r="E84" s="24" t="n">
        <f aca="false">$E$32*D84</f>
        <v>51.192783824</v>
      </c>
      <c r="F84" s="42"/>
    </row>
    <row r="85" s="37" customFormat="true" ht="18.6" hidden="false" customHeight="true" outlineLevel="0" collapsed="false">
      <c r="B85" s="10" t="s">
        <v>11</v>
      </c>
      <c r="C85" s="6" t="s">
        <v>97</v>
      </c>
      <c r="D85" s="49" t="n">
        <v>0.0002</v>
      </c>
      <c r="E85" s="24" t="n">
        <f aca="false">$E$32*D85</f>
        <v>0.616780528</v>
      </c>
      <c r="F85" s="42"/>
      <c r="AMJ85" s="0"/>
    </row>
    <row r="86" customFormat="false" ht="18.6" hidden="false" customHeight="true" outlineLevel="0" collapsed="false">
      <c r="B86" s="10" t="s">
        <v>14</v>
      </c>
      <c r="C86" s="6" t="s">
        <v>98</v>
      </c>
      <c r="D86" s="49" t="n">
        <v>0.0028</v>
      </c>
      <c r="E86" s="24" t="n">
        <f aca="false">$E$32*D86</f>
        <v>8.634927392</v>
      </c>
      <c r="F86" s="42"/>
      <c r="G86" s="50"/>
    </row>
    <row r="87" customFormat="false" ht="15.25" hidden="false" customHeight="false" outlineLevel="0" collapsed="false">
      <c r="B87" s="10" t="s">
        <v>37</v>
      </c>
      <c r="C87" s="6" t="s">
        <v>99</v>
      </c>
      <c r="D87" s="49" t="n">
        <v>0.0003</v>
      </c>
      <c r="E87" s="24" t="n">
        <f aca="false">$E$32*D87</f>
        <v>0.925170792</v>
      </c>
      <c r="F87" s="42"/>
      <c r="G87" s="51"/>
    </row>
    <row r="88" customFormat="false" ht="15.25" hidden="false" customHeight="false" outlineLevel="0" collapsed="false">
      <c r="B88" s="10" t="s">
        <v>39</v>
      </c>
      <c r="C88" s="6" t="s">
        <v>100</v>
      </c>
      <c r="D88" s="49"/>
      <c r="E88" s="24" t="n">
        <v>0</v>
      </c>
      <c r="F88" s="42"/>
      <c r="G88" s="52"/>
    </row>
    <row r="89" customFormat="false" ht="15.25" hidden="false" customHeight="false" outlineLevel="0" collapsed="false">
      <c r="B89" s="34" t="s">
        <v>101</v>
      </c>
      <c r="C89" s="34"/>
      <c r="D89" s="53" t="n">
        <v>0.131</v>
      </c>
      <c r="E89" s="21" t="n">
        <f aca="false">$E$32*D89</f>
        <v>403.99124584</v>
      </c>
      <c r="F89" s="42"/>
      <c r="G89" s="52"/>
    </row>
    <row r="90" customFormat="false" ht="15.25" hidden="false" customHeight="false" outlineLevel="0" collapsed="false">
      <c r="B90" s="10" t="s">
        <v>69</v>
      </c>
      <c r="C90" s="54" t="s">
        <v>102</v>
      </c>
      <c r="D90" s="49" t="n">
        <v>0.048208</v>
      </c>
      <c r="E90" s="24" t="n">
        <f aca="false">$E$32*D90</f>
        <v>148.66877846912</v>
      </c>
      <c r="F90" s="42"/>
      <c r="G90" s="52"/>
    </row>
    <row r="91" customFormat="false" ht="15.25" hidden="false" customHeight="false" outlineLevel="0" collapsed="false">
      <c r="B91" s="20" t="s">
        <v>73</v>
      </c>
      <c r="C91" s="20"/>
      <c r="D91" s="53" t="n">
        <v>0.179208</v>
      </c>
      <c r="E91" s="21" t="n">
        <f aca="false">$E$32*D91</f>
        <v>552.66002430912</v>
      </c>
      <c r="F91" s="42"/>
      <c r="G91" s="45"/>
    </row>
    <row r="92" customFormat="false" ht="17.85" hidden="false" customHeight="true" outlineLevel="0" collapsed="false">
      <c r="A92" s="55"/>
      <c r="B92" s="14" t="s">
        <v>103</v>
      </c>
      <c r="C92" s="14"/>
      <c r="D92" s="14"/>
      <c r="E92" s="14"/>
      <c r="G92" s="45"/>
    </row>
    <row r="93" s="8" customFormat="true" ht="15.25" hidden="false" customHeight="false" outlineLevel="0" collapsed="false">
      <c r="B93" s="2" t="n">
        <v>4</v>
      </c>
      <c r="C93" s="2" t="s">
        <v>104</v>
      </c>
      <c r="D93" s="10" t="s">
        <v>31</v>
      </c>
      <c r="E93" s="2" t="s">
        <v>32</v>
      </c>
      <c r="F93" s="45"/>
      <c r="G93" s="45"/>
      <c r="AMJ93" s="0"/>
    </row>
    <row r="94" customFormat="false" ht="15.65" hidden="false" customHeight="false" outlineLevel="0" collapsed="false">
      <c r="A94" s="8"/>
      <c r="B94" s="10" t="s">
        <v>105</v>
      </c>
      <c r="C94" s="6" t="s">
        <v>106</v>
      </c>
      <c r="D94" s="56" t="n">
        <v>0.368</v>
      </c>
      <c r="E94" s="24" t="n">
        <f aca="false">$E$32*D94</f>
        <v>1134.87617152</v>
      </c>
      <c r="F94" s="18"/>
      <c r="G94" s="45"/>
    </row>
    <row r="95" customFormat="false" ht="21" hidden="false" customHeight="true" outlineLevel="0" collapsed="false">
      <c r="B95" s="10" t="s">
        <v>107</v>
      </c>
      <c r="C95" s="6" t="s">
        <v>108</v>
      </c>
      <c r="D95" s="56" t="n">
        <v>0.1139544</v>
      </c>
      <c r="E95" s="24" t="n">
        <f aca="false">$E$32*D95</f>
        <v>351.424274999616</v>
      </c>
      <c r="F95" s="18"/>
    </row>
    <row r="96" customFormat="false" ht="15.65" hidden="false" customHeight="false" outlineLevel="0" collapsed="false">
      <c r="B96" s="10" t="s">
        <v>109</v>
      </c>
      <c r="C96" s="6" t="s">
        <v>110</v>
      </c>
      <c r="D96" s="56" t="n">
        <v>0.00104</v>
      </c>
      <c r="E96" s="24" t="n">
        <f aca="false">$E$32*D96</f>
        <v>3.2072587456</v>
      </c>
      <c r="F96" s="18"/>
    </row>
    <row r="97" customFormat="false" ht="15.65" hidden="false" customHeight="false" outlineLevel="0" collapsed="false">
      <c r="B97" s="10" t="s">
        <v>111</v>
      </c>
      <c r="C97" s="6" t="s">
        <v>112</v>
      </c>
      <c r="D97" s="56" t="n">
        <v>0.074876</v>
      </c>
      <c r="E97" s="24" t="n">
        <f aca="false">$E$32*D97</f>
        <v>230.91029407264</v>
      </c>
      <c r="F97" s="18"/>
    </row>
    <row r="98" customFormat="false" ht="15.65" hidden="false" customHeight="false" outlineLevel="0" collapsed="false">
      <c r="B98" s="10" t="s">
        <v>113</v>
      </c>
      <c r="C98" s="6" t="s">
        <v>114</v>
      </c>
      <c r="D98" s="56" t="n">
        <v>0.179208</v>
      </c>
      <c r="E98" s="24" t="n">
        <f aca="false">$E$32*D98</f>
        <v>552.66002430912</v>
      </c>
      <c r="F98" s="18"/>
    </row>
    <row r="99" customFormat="false" ht="15.65" hidden="false" customHeight="false" outlineLevel="0" collapsed="false">
      <c r="B99" s="10" t="s">
        <v>115</v>
      </c>
      <c r="C99" s="6" t="s">
        <v>100</v>
      </c>
      <c r="D99" s="56"/>
      <c r="E99" s="24"/>
      <c r="F99" s="18"/>
    </row>
    <row r="100" customFormat="false" ht="15.25" hidden="false" customHeight="false" outlineLevel="0" collapsed="false">
      <c r="B100" s="20" t="s">
        <v>73</v>
      </c>
      <c r="C100" s="20"/>
      <c r="D100" s="57" t="n">
        <v>0.7370784</v>
      </c>
      <c r="E100" s="21" t="n">
        <f aca="false">$E$32*D100</f>
        <v>2273.07802364698</v>
      </c>
      <c r="F100" s="58"/>
    </row>
    <row r="101" customFormat="false" ht="15.9" hidden="false" customHeight="false" outlineLevel="0" collapsed="false">
      <c r="B101" s="2" t="s">
        <v>116</v>
      </c>
      <c r="C101" s="2"/>
      <c r="D101" s="2"/>
      <c r="E101" s="2"/>
    </row>
    <row r="102" customFormat="false" ht="15.25" hidden="false" customHeight="false" outlineLevel="0" collapsed="false">
      <c r="B102" s="2" t="n">
        <v>5</v>
      </c>
      <c r="C102" s="2" t="s">
        <v>117</v>
      </c>
      <c r="D102" s="10" t="s">
        <v>31</v>
      </c>
      <c r="E102" s="2" t="s">
        <v>32</v>
      </c>
    </row>
    <row r="103" s="8" customFormat="true" ht="15.25" hidden="false" customHeight="false" outlineLevel="0" collapsed="false">
      <c r="B103" s="10" t="s">
        <v>6</v>
      </c>
      <c r="C103" s="59" t="s">
        <v>118</v>
      </c>
      <c r="D103" s="38" t="n">
        <v>0.06</v>
      </c>
      <c r="E103" s="33" t="n">
        <f aca="false">E122*D103</f>
        <v>378.839236961676</v>
      </c>
      <c r="F103" s="42"/>
      <c r="AMJ103" s="0"/>
    </row>
    <row r="104" customFormat="false" ht="15.25" hidden="false" customHeight="false" outlineLevel="0" collapsed="false">
      <c r="B104" s="10" t="s">
        <v>8</v>
      </c>
      <c r="C104" s="59" t="s">
        <v>119</v>
      </c>
      <c r="D104" s="38" t="n">
        <v>0.0679</v>
      </c>
      <c r="E104" s="33" t="n">
        <f aca="false">(E122+E103)*D104</f>
        <v>454.442920684661</v>
      </c>
      <c r="F104" s="42"/>
    </row>
    <row r="105" customFormat="false" ht="15.25" hidden="false" customHeight="false" outlineLevel="0" collapsed="false">
      <c r="B105" s="10" t="s">
        <v>11</v>
      </c>
      <c r="C105" s="59" t="s">
        <v>120</v>
      </c>
      <c r="D105" s="6"/>
      <c r="E105" s="6"/>
      <c r="F105" s="42"/>
    </row>
    <row r="106" customFormat="false" ht="15.65" hidden="false" customHeight="false" outlineLevel="0" collapsed="false">
      <c r="B106" s="60" t="s">
        <v>121</v>
      </c>
      <c r="C106" s="6" t="s">
        <v>122</v>
      </c>
      <c r="D106" s="61" t="n">
        <v>3</v>
      </c>
      <c r="E106" s="62" t="n">
        <f aca="false">E124*D106/100</f>
        <v>234.721492293627</v>
      </c>
      <c r="F106" s="42"/>
    </row>
    <row r="107" customFormat="false" ht="15.65" hidden="false" customHeight="false" outlineLevel="0" collapsed="false">
      <c r="B107" s="60"/>
      <c r="C107" s="6" t="s">
        <v>123</v>
      </c>
      <c r="D107" s="61" t="n">
        <v>0.65</v>
      </c>
      <c r="E107" s="62" t="n">
        <f aca="false">E124*D107/100</f>
        <v>50.8563233302858</v>
      </c>
      <c r="F107" s="42"/>
    </row>
    <row r="108" customFormat="false" ht="15.25" hidden="false" customHeight="false" outlineLevel="0" collapsed="false">
      <c r="B108" s="60" t="s">
        <v>124</v>
      </c>
      <c r="C108" s="6" t="s">
        <v>125</v>
      </c>
      <c r="D108" s="61"/>
      <c r="E108" s="62"/>
      <c r="F108" s="42"/>
    </row>
    <row r="109" customFormat="false" ht="15.9" hidden="false" customHeight="false" outlineLevel="0" collapsed="false">
      <c r="B109" s="60" t="s">
        <v>126</v>
      </c>
      <c r="C109" s="6" t="s">
        <v>127</v>
      </c>
      <c r="D109" s="61" t="n">
        <v>5</v>
      </c>
      <c r="E109" s="62" t="n">
        <f aca="false">E124*D109/100</f>
        <v>391.202487156045</v>
      </c>
      <c r="F109" s="42"/>
      <c r="G109" s="63"/>
    </row>
    <row r="110" customFormat="false" ht="15.25" hidden="false" customHeight="false" outlineLevel="0" collapsed="false">
      <c r="B110" s="60" t="s">
        <v>128</v>
      </c>
      <c r="C110" s="6" t="s">
        <v>129</v>
      </c>
      <c r="D110" s="38"/>
      <c r="E110" s="62"/>
      <c r="F110" s="42"/>
      <c r="G110" s="30"/>
    </row>
    <row r="111" customFormat="false" ht="14.05" hidden="false" customHeight="false" outlineLevel="0" collapsed="false">
      <c r="G111" s="64"/>
    </row>
    <row r="112" customFormat="false" ht="15.25" hidden="false" customHeight="false" outlineLevel="0" collapsed="false">
      <c r="B112" s="20" t="s">
        <v>130</v>
      </c>
      <c r="C112" s="20"/>
      <c r="D112" s="2" t="n">
        <v>11.25</v>
      </c>
      <c r="E112" s="33" t="n">
        <f aca="false">SUM(E103:E109)</f>
        <v>1510.06246042629</v>
      </c>
      <c r="F112" s="42"/>
      <c r="G112" s="30"/>
    </row>
    <row r="113" customFormat="false" ht="17.1" hidden="false" customHeight="true" outlineLevel="0" collapsed="false">
      <c r="B113" s="65" t="s">
        <v>131</v>
      </c>
      <c r="C113" s="65"/>
      <c r="D113" s="66" t="n">
        <f aca="false">(1-(D106+D107+D109)/100)</f>
        <v>0.9135</v>
      </c>
      <c r="E113" s="67"/>
      <c r="F113" s="29"/>
      <c r="G113" s="63"/>
    </row>
    <row r="114" customFormat="false" ht="29.85" hidden="false" customHeight="true" outlineLevel="0" collapsed="false">
      <c r="B114" s="65"/>
      <c r="C114" s="65"/>
      <c r="D114" s="68" t="n">
        <f aca="false">(E122+E103+E104)/D113</f>
        <v>7824.04974312089</v>
      </c>
      <c r="E114" s="69"/>
      <c r="F114" s="70"/>
      <c r="G114" s="30"/>
    </row>
    <row r="115" s="8" customFormat="true" ht="15.25" hidden="false" customHeight="false" outlineLevel="0" collapsed="false">
      <c r="B115" s="4" t="s">
        <v>132</v>
      </c>
      <c r="C115" s="4"/>
      <c r="D115" s="33"/>
      <c r="E115" s="71"/>
      <c r="F115" s="70"/>
      <c r="G115" s="63"/>
      <c r="AMJ115" s="0"/>
    </row>
    <row r="116" customFormat="false" ht="17.1" hidden="false" customHeight="true" outlineLevel="0" collapsed="false">
      <c r="B116" s="2" t="s">
        <v>133</v>
      </c>
      <c r="C116" s="2"/>
      <c r="D116" s="2"/>
      <c r="E116" s="2"/>
      <c r="F116" s="70"/>
    </row>
    <row r="117" customFormat="false" ht="30.75" hidden="false" customHeight="true" outlineLevel="0" collapsed="false">
      <c r="B117" s="2"/>
      <c r="C117" s="14" t="s">
        <v>134</v>
      </c>
      <c r="D117" s="14"/>
      <c r="E117" s="2" t="s">
        <v>32</v>
      </c>
      <c r="F117" s="70"/>
    </row>
    <row r="118" customFormat="false" ht="15.65" hidden="false" customHeight="false" outlineLevel="0" collapsed="false">
      <c r="B118" s="10" t="s">
        <v>6</v>
      </c>
      <c r="C118" s="34" t="s">
        <v>135</v>
      </c>
      <c r="D118" s="34"/>
      <c r="E118" s="71" t="n">
        <f aca="false">E32</f>
        <v>3083.90264</v>
      </c>
      <c r="F118" s="42"/>
    </row>
    <row r="119" customFormat="false" ht="15.65" hidden="false" customHeight="false" outlineLevel="0" collapsed="false">
      <c r="B119" s="10" t="s">
        <v>8</v>
      </c>
      <c r="C119" s="34" t="s">
        <v>136</v>
      </c>
      <c r="D119" s="34"/>
      <c r="E119" s="23" t="n">
        <f aca="false">E41</f>
        <v>599.625952380952</v>
      </c>
      <c r="F119" s="42"/>
    </row>
    <row r="120" customFormat="false" ht="16.5" hidden="false" customHeight="true" outlineLevel="0" collapsed="false">
      <c r="B120" s="10" t="s">
        <v>11</v>
      </c>
      <c r="C120" s="34" t="s">
        <v>137</v>
      </c>
      <c r="D120" s="34"/>
      <c r="E120" s="71" t="n">
        <f aca="false">E49</f>
        <v>357.380666666667</v>
      </c>
      <c r="F120" s="42"/>
    </row>
    <row r="121" customFormat="false" ht="15.65" hidden="false" customHeight="false" outlineLevel="0" collapsed="false">
      <c r="B121" s="10" t="s">
        <v>14</v>
      </c>
      <c r="C121" s="34" t="s">
        <v>138</v>
      </c>
      <c r="D121" s="34"/>
      <c r="E121" s="23" t="n">
        <f aca="false">E100</f>
        <v>2273.07802364698</v>
      </c>
      <c r="F121" s="42"/>
    </row>
    <row r="122" customFormat="false" ht="15.25" hidden="false" customHeight="false" outlineLevel="0" collapsed="false">
      <c r="B122" s="20" t="s">
        <v>139</v>
      </c>
      <c r="C122" s="20"/>
      <c r="D122" s="20"/>
      <c r="E122" s="72" t="n">
        <f aca="false">SUM(E118:E121)</f>
        <v>6313.9872826946</v>
      </c>
      <c r="F122" s="42"/>
    </row>
    <row r="123" customFormat="false" ht="15.25" hidden="false" customHeight="false" outlineLevel="0" collapsed="false">
      <c r="B123" s="10" t="s">
        <v>37</v>
      </c>
      <c r="C123" s="2" t="s">
        <v>140</v>
      </c>
      <c r="D123" s="2"/>
      <c r="E123" s="23" t="n">
        <f aca="false">E112</f>
        <v>1510.06246042629</v>
      </c>
      <c r="F123" s="42"/>
    </row>
    <row r="124" customFormat="false" ht="15.65" hidden="false" customHeight="false" outlineLevel="0" collapsed="false">
      <c r="B124" s="2" t="s">
        <v>141</v>
      </c>
      <c r="C124" s="2"/>
      <c r="D124" s="2"/>
      <c r="E124" s="73" t="n">
        <f aca="false">(E122+E103+E104)/(1-(D106+D107+D109)/100)</f>
        <v>7824.04974312089</v>
      </c>
      <c r="F124" s="42"/>
    </row>
    <row r="125" customFormat="false" ht="15.65" hidden="false" customHeight="false" outlineLevel="0" collapsed="false">
      <c r="B125" s="2" t="s">
        <v>142</v>
      </c>
      <c r="C125" s="2"/>
      <c r="D125" s="2"/>
      <c r="E125" s="73" t="n">
        <f aca="false">E124*2</f>
        <v>15648.0994862418</v>
      </c>
    </row>
  </sheetData>
  <mergeCells count="62">
    <mergeCell ref="B3:E5"/>
    <mergeCell ref="F3:F25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B24:E24"/>
    <mergeCell ref="B32:D32"/>
    <mergeCell ref="B33:E33"/>
    <mergeCell ref="F37:F38"/>
    <mergeCell ref="B41:D41"/>
    <mergeCell ref="B42:E42"/>
    <mergeCell ref="F43:F44"/>
    <mergeCell ref="B49:D49"/>
    <mergeCell ref="B50:E50"/>
    <mergeCell ref="B51:E51"/>
    <mergeCell ref="F51:F52"/>
    <mergeCell ref="B61:C61"/>
    <mergeCell ref="B62:E62"/>
    <mergeCell ref="B66:C66"/>
    <mergeCell ref="B67:E67"/>
    <mergeCell ref="B71:C71"/>
    <mergeCell ref="B72:E72"/>
    <mergeCell ref="B80:C80"/>
    <mergeCell ref="B81:E81"/>
    <mergeCell ref="B89:C89"/>
    <mergeCell ref="B91:C91"/>
    <mergeCell ref="B92:E92"/>
    <mergeCell ref="B100:C100"/>
    <mergeCell ref="B101:E101"/>
    <mergeCell ref="B106:B107"/>
    <mergeCell ref="B112:C112"/>
    <mergeCell ref="B113:C114"/>
    <mergeCell ref="B115:C115"/>
    <mergeCell ref="B116:E116"/>
    <mergeCell ref="C117:D117"/>
    <mergeCell ref="C118:D118"/>
    <mergeCell ref="C119:D119"/>
    <mergeCell ref="C120:D120"/>
    <mergeCell ref="C121:D121"/>
    <mergeCell ref="B122:D122"/>
    <mergeCell ref="C123:D123"/>
    <mergeCell ref="B124:D124"/>
    <mergeCell ref="B125:D125"/>
  </mergeCells>
  <printOptions headings="false" gridLines="false" gridLinesSet="true" horizontalCentered="false" verticalCentered="false"/>
  <pageMargins left="0" right="0" top="0.138888888888889" bottom="0.138888888888889" header="0" footer="0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&amp;C&amp;10&amp;A</oddHeader>
    <oddFooter>&amp;C&amp;10Página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F65536"/>
  <sheetViews>
    <sheetView windowProtection="false" showFormulas="false" showGridLines="true" showRowColHeaders="true" showZeros="true" rightToLeft="false" tabSelected="false" showOutlineSymbols="true" defaultGridColor="true" view="normal" topLeftCell="A22" colorId="64" zoomScale="75" zoomScaleNormal="75" zoomScalePageLayoutView="100" workbookViewId="0">
      <selection pane="topLeft" activeCell="E50" activeCellId="0" sqref="E50"/>
    </sheetView>
  </sheetViews>
  <sheetFormatPr defaultRowHeight="16.05"/>
  <cols>
    <col collapsed="false" hidden="false" max="2" min="1" style="0" width="10.5023255813953"/>
    <col collapsed="false" hidden="false" max="3" min="3" style="0" width="53.3674418604651"/>
    <col collapsed="false" hidden="false" max="4" min="4" style="0" width="14.5116279069767"/>
    <col collapsed="false" hidden="false" max="5" min="5" style="0" width="18.3860465116279"/>
    <col collapsed="false" hidden="false" max="6" min="6" style="0" width="14.5116279069767"/>
    <col collapsed="false" hidden="false" max="1025" min="7" style="0" width="10.5023255813953"/>
  </cols>
  <sheetData>
    <row r="1" customFormat="false" ht="14.05" hidden="false" customHeight="false" outlineLevel="0" collapsed="false"/>
    <row r="3" customFormat="false" ht="16.05" hidden="false" customHeight="false" outlineLevel="0" collapsed="false">
      <c r="B3" s="2" t="s">
        <v>0</v>
      </c>
      <c r="C3" s="2"/>
      <c r="D3" s="2"/>
      <c r="E3" s="2"/>
    </row>
    <row r="4" customFormat="false" ht="16.05" hidden="false" customHeight="false" outlineLevel="0" collapsed="false">
      <c r="B4" s="2"/>
      <c r="C4" s="2"/>
      <c r="D4" s="2"/>
      <c r="E4" s="2"/>
    </row>
    <row r="5" customFormat="false" ht="16.05" hidden="false" customHeight="false" outlineLevel="0" collapsed="false">
      <c r="B5" s="2"/>
      <c r="C5" s="2"/>
      <c r="D5" s="2"/>
      <c r="E5" s="2"/>
    </row>
    <row r="6" customFormat="false" ht="17.25" hidden="false" customHeight="false" outlineLevel="0" collapsed="false">
      <c r="B6" s="4" t="s">
        <v>1</v>
      </c>
      <c r="C6" s="4"/>
      <c r="D6" s="5"/>
      <c r="E6" s="5"/>
    </row>
    <row r="7" customFormat="false" ht="17.25" hidden="false" customHeight="false" outlineLevel="0" collapsed="false">
      <c r="B7" s="4" t="s">
        <v>2</v>
      </c>
      <c r="C7" s="4"/>
      <c r="D7" s="5"/>
      <c r="E7" s="5"/>
    </row>
    <row r="8" customFormat="false" ht="17.25" hidden="false" customHeight="false" outlineLevel="0" collapsed="false">
      <c r="B8" s="4" t="s">
        <v>3</v>
      </c>
      <c r="C8" s="4"/>
      <c r="D8" s="5"/>
      <c r="E8" s="5"/>
    </row>
    <row r="9" customFormat="false" ht="17.25" hidden="false" customHeight="false" outlineLevel="0" collapsed="false">
      <c r="B9" s="4" t="s">
        <v>4</v>
      </c>
      <c r="C9" s="4"/>
      <c r="D9" s="5"/>
      <c r="E9" s="5"/>
    </row>
    <row r="10" customFormat="false" ht="17.25" hidden="false" customHeight="false" outlineLevel="0" collapsed="false">
      <c r="B10" s="2" t="s">
        <v>5</v>
      </c>
      <c r="C10" s="2"/>
      <c r="D10" s="2"/>
      <c r="E10" s="2"/>
    </row>
    <row r="11" customFormat="false" ht="17.25" hidden="false" customHeight="false" outlineLevel="0" collapsed="false">
      <c r="B11" s="6" t="s">
        <v>6</v>
      </c>
      <c r="C11" s="6" t="s">
        <v>7</v>
      </c>
      <c r="D11" s="5"/>
      <c r="E11" s="5"/>
    </row>
    <row r="12" customFormat="false" ht="17.25" hidden="false" customHeight="false" outlineLevel="0" collapsed="false">
      <c r="B12" s="6" t="s">
        <v>8</v>
      </c>
      <c r="C12" s="6" t="s">
        <v>9</v>
      </c>
      <c r="D12" s="2" t="s">
        <v>162</v>
      </c>
      <c r="E12" s="2"/>
    </row>
    <row r="13" customFormat="false" ht="17.25" hidden="false" customHeight="false" outlineLevel="0" collapsed="false">
      <c r="B13" s="6" t="s">
        <v>11</v>
      </c>
      <c r="C13" s="7" t="s">
        <v>12</v>
      </c>
      <c r="D13" s="2" t="s">
        <v>13</v>
      </c>
      <c r="E13" s="2"/>
    </row>
    <row r="14" customFormat="false" ht="17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</row>
    <row r="15" customFormat="false" ht="17.25" hidden="false" customHeight="false" outlineLevel="0" collapsed="false">
      <c r="B15" s="2" t="s">
        <v>16</v>
      </c>
      <c r="C15" s="2"/>
      <c r="D15" s="2"/>
      <c r="E15" s="2"/>
    </row>
    <row r="16" customFormat="false" ht="67.9" hidden="false" customHeight="true" outlineLevel="0" collapsed="false">
      <c r="B16" s="9" t="s">
        <v>17</v>
      </c>
      <c r="C16" s="9"/>
      <c r="D16" s="9" t="s">
        <v>18</v>
      </c>
      <c r="E16" s="9" t="s">
        <v>19</v>
      </c>
    </row>
    <row r="17" customFormat="false" ht="17.25" hidden="false" customHeight="false" outlineLevel="0" collapsed="false">
      <c r="B17" s="2" t="s">
        <v>20</v>
      </c>
      <c r="C17" s="2"/>
      <c r="D17" s="6" t="s">
        <v>21</v>
      </c>
      <c r="E17" s="2" t="n">
        <v>1</v>
      </c>
    </row>
    <row r="18" customFormat="false" ht="17.25" hidden="false" customHeight="false" outlineLevel="0" collapsed="false">
      <c r="B18" s="2" t="s">
        <v>22</v>
      </c>
      <c r="C18" s="2"/>
      <c r="D18" s="2"/>
      <c r="E18" s="2"/>
    </row>
    <row r="19" customFormat="false" ht="17.25" hidden="false" customHeight="false" outlineLevel="0" collapsed="false">
      <c r="B19" s="2" t="s">
        <v>23</v>
      </c>
      <c r="C19" s="2"/>
      <c r="D19" s="2"/>
      <c r="E19" s="2"/>
    </row>
    <row r="20" customFormat="false" ht="17.25" hidden="false" customHeight="false" outlineLevel="0" collapsed="false">
      <c r="B20" s="10" t="n">
        <v>1</v>
      </c>
      <c r="C20" s="6" t="s">
        <v>24</v>
      </c>
      <c r="D20" s="77" t="s">
        <v>157</v>
      </c>
      <c r="E20" s="77"/>
    </row>
    <row r="21" customFormat="false" ht="17.25" hidden="false" customHeight="false" outlineLevel="0" collapsed="false">
      <c r="B21" s="10" t="n">
        <v>2</v>
      </c>
      <c r="C21" s="6" t="s">
        <v>26</v>
      </c>
      <c r="D21" s="12" t="n">
        <v>1602.86</v>
      </c>
      <c r="E21" s="12"/>
    </row>
    <row r="22" customFormat="false" ht="17.25" hidden="false" customHeight="false" outlineLevel="0" collapsed="false">
      <c r="B22" s="10" t="n">
        <v>3</v>
      </c>
      <c r="C22" s="6" t="s">
        <v>27</v>
      </c>
      <c r="D22" s="77" t="s">
        <v>157</v>
      </c>
      <c r="E22" s="77"/>
    </row>
    <row r="23" customFormat="false" ht="17.25" hidden="false" customHeight="false" outlineLevel="0" collapsed="false">
      <c r="B23" s="10" t="n">
        <v>4</v>
      </c>
      <c r="C23" s="6" t="s">
        <v>28</v>
      </c>
      <c r="D23" s="13" t="n">
        <v>42736</v>
      </c>
      <c r="E23" s="13"/>
    </row>
    <row r="24" customFormat="false" ht="17.25" hidden="false" customHeight="false" outlineLevel="0" collapsed="false">
      <c r="B24" s="2" t="s">
        <v>29</v>
      </c>
      <c r="C24" s="2"/>
      <c r="D24" s="2"/>
      <c r="E24" s="2"/>
    </row>
    <row r="25" customFormat="false" ht="17.25" hidden="false" customHeight="false" outlineLevel="0" collapsed="false">
      <c r="B25" s="2" t="n">
        <v>1</v>
      </c>
      <c r="C25" s="2" t="s">
        <v>30</v>
      </c>
      <c r="D25" s="10" t="s">
        <v>31</v>
      </c>
      <c r="E25" s="14" t="s">
        <v>32</v>
      </c>
    </row>
    <row r="26" customFormat="false" ht="17.25" hidden="false" customHeight="false" outlineLevel="0" collapsed="false">
      <c r="B26" s="10" t="s">
        <v>6</v>
      </c>
      <c r="C26" s="6" t="s">
        <v>33</v>
      </c>
      <c r="D26" s="6"/>
      <c r="E26" s="15" t="n">
        <f aca="false">D21</f>
        <v>1602.86</v>
      </c>
    </row>
    <row r="27" customFormat="false" ht="17.25" hidden="false" customHeight="false" outlineLevel="0" collapsed="false">
      <c r="B27" s="10" t="s">
        <v>8</v>
      </c>
      <c r="C27" s="6" t="s">
        <v>34</v>
      </c>
      <c r="D27" s="17" t="n">
        <v>0.3</v>
      </c>
      <c r="E27" s="15" t="n">
        <f aca="false">E26*0.3</f>
        <v>480.858</v>
      </c>
    </row>
    <row r="28" customFormat="false" ht="17.25" hidden="false" customHeight="false" outlineLevel="0" collapsed="false">
      <c r="B28" s="10" t="s">
        <v>11</v>
      </c>
      <c r="C28" s="6" t="s">
        <v>35</v>
      </c>
      <c r="D28" s="17" t="n">
        <v>0.6</v>
      </c>
      <c r="E28" s="15" t="n">
        <f aca="false">(E26+E27)/220*1.6*15</f>
        <v>227.314690909091</v>
      </c>
    </row>
    <row r="29" customFormat="false" ht="17.25" hidden="false" customHeight="false" outlineLevel="0" collapsed="false">
      <c r="B29" s="10" t="s">
        <v>14</v>
      </c>
      <c r="C29" s="6" t="s">
        <v>36</v>
      </c>
      <c r="D29" s="17" t="n">
        <v>0.4</v>
      </c>
      <c r="E29" s="15" t="n">
        <f aca="false">(E26+E27)/220*0.4*8*15</f>
        <v>454.629381818182</v>
      </c>
    </row>
    <row r="30" customFormat="false" ht="15.9" hidden="false" customHeight="false" outlineLevel="0" collapsed="false">
      <c r="B30" s="10" t="s">
        <v>37</v>
      </c>
      <c r="C30" s="6" t="s">
        <v>38</v>
      </c>
      <c r="D30" s="6" t="n">
        <v>15</v>
      </c>
      <c r="E30" s="15" t="n">
        <f aca="false">(E26+E27)*2/220*7.5</f>
        <v>142.071681818182</v>
      </c>
    </row>
    <row r="31" customFormat="false" ht="15.25" hidden="false" customHeight="false" outlineLevel="0" collapsed="false">
      <c r="B31" s="10" t="s">
        <v>39</v>
      </c>
      <c r="C31" s="6" t="s">
        <v>40</v>
      </c>
      <c r="D31" s="19"/>
      <c r="E31" s="15" t="n">
        <f aca="false">(E28+E29+E30)*5/25</f>
        <v>164.803150909091</v>
      </c>
    </row>
    <row r="32" customFormat="false" ht="17.25" hidden="false" customHeight="false" outlineLevel="0" collapsed="false">
      <c r="B32" s="20" t="s">
        <v>41</v>
      </c>
      <c r="C32" s="20"/>
      <c r="D32" s="20"/>
      <c r="E32" s="21" t="n">
        <f aca="false">SUM(E26:E31)</f>
        <v>3072.53690545455</v>
      </c>
    </row>
    <row r="33" customFormat="false" ht="17.25" hidden="false" customHeight="false" outlineLevel="0" collapsed="false">
      <c r="B33" s="2" t="s">
        <v>42</v>
      </c>
      <c r="C33" s="2"/>
      <c r="D33" s="2"/>
      <c r="E33" s="2"/>
    </row>
    <row r="34" customFormat="false" ht="17.25" hidden="false" customHeight="false" outlineLevel="0" collapsed="false">
      <c r="B34" s="2" t="n">
        <v>2</v>
      </c>
      <c r="C34" s="2" t="s">
        <v>43</v>
      </c>
      <c r="D34" s="10"/>
      <c r="E34" s="2" t="s">
        <v>32</v>
      </c>
    </row>
    <row r="35" customFormat="false" ht="15.25" hidden="false" customHeight="false" outlineLevel="0" collapsed="false">
      <c r="B35" s="10" t="s">
        <v>6</v>
      </c>
      <c r="C35" s="6" t="s">
        <v>44</v>
      </c>
      <c r="D35" s="23"/>
      <c r="E35" s="24" t="n">
        <f aca="false">'Equipamentos - FZ - Exp do Moura'!H112</f>
        <v>198</v>
      </c>
      <c r="F35" s="84" t="s">
        <v>158</v>
      </c>
    </row>
    <row r="36" customFormat="false" ht="15.9" hidden="false" customHeight="false" outlineLevel="0" collapsed="false">
      <c r="B36" s="10" t="s">
        <v>8</v>
      </c>
      <c r="C36" s="6" t="s">
        <v>45</v>
      </c>
      <c r="D36" s="23" t="n">
        <v>15.99</v>
      </c>
      <c r="E36" s="24" t="n">
        <f aca="false">D36*0.9*15</f>
        <v>215.865</v>
      </c>
      <c r="F36" s="85" t="n">
        <v>15</v>
      </c>
    </row>
    <row r="37" customFormat="false" ht="15.25" hidden="false" customHeight="false" outlineLevel="0" collapsed="false">
      <c r="B37" s="10" t="s">
        <v>11</v>
      </c>
      <c r="C37" s="6" t="s">
        <v>46</v>
      </c>
      <c r="D37" s="23"/>
      <c r="E37" s="23" t="n">
        <v>112.9</v>
      </c>
    </row>
    <row r="38" customFormat="false" ht="15.9" hidden="false" customHeight="false" outlineLevel="0" collapsed="false">
      <c r="B38" s="10" t="s">
        <v>14</v>
      </c>
      <c r="C38" s="6" t="s">
        <v>47</v>
      </c>
      <c r="D38" s="6"/>
      <c r="E38" s="23" t="n">
        <v>91.08</v>
      </c>
    </row>
    <row r="39" customFormat="false" ht="15.25" hidden="false" customHeight="false" outlineLevel="0" collapsed="false">
      <c r="B39" s="10" t="s">
        <v>37</v>
      </c>
      <c r="C39" s="6" t="s">
        <v>48</v>
      </c>
      <c r="D39" s="23"/>
      <c r="E39" s="23" t="n">
        <f aca="false">'Média Insumos e benefícios'!E24</f>
        <v>19.0666666666667</v>
      </c>
    </row>
    <row r="40" customFormat="false" ht="15.25" hidden="false" customHeight="false" outlineLevel="0" collapsed="false">
      <c r="B40" s="10" t="s">
        <v>39</v>
      </c>
      <c r="C40" s="6" t="s">
        <v>49</v>
      </c>
      <c r="D40" s="23"/>
      <c r="E40" s="23"/>
    </row>
    <row r="41" customFormat="false" ht="17.25" hidden="false" customHeight="false" outlineLevel="0" collapsed="false">
      <c r="B41" s="34" t="s">
        <v>50</v>
      </c>
      <c r="C41" s="34"/>
      <c r="D41" s="34"/>
      <c r="E41" s="21" t="n">
        <f aca="false">SUM(E35:E40)</f>
        <v>636.911666666667</v>
      </c>
    </row>
    <row r="42" customFormat="false" ht="17.2" hidden="false" customHeight="false" outlineLevel="0" collapsed="false">
      <c r="B42" s="2" t="s">
        <v>51</v>
      </c>
      <c r="C42" s="2"/>
      <c r="D42" s="2"/>
      <c r="E42" s="2"/>
    </row>
    <row r="43" customFormat="false" ht="15.25" hidden="false" customHeight="false" outlineLevel="0" collapsed="false">
      <c r="B43" s="2" t="n">
        <v>3</v>
      </c>
      <c r="C43" s="2" t="s">
        <v>52</v>
      </c>
      <c r="D43" s="10" t="s">
        <v>31</v>
      </c>
      <c r="E43" s="2" t="s">
        <v>32</v>
      </c>
    </row>
    <row r="44" customFormat="false" ht="15.9" hidden="false" customHeight="false" outlineLevel="0" collapsed="false">
      <c r="B44" s="10" t="s">
        <v>6</v>
      </c>
      <c r="C44" s="6" t="s">
        <v>53</v>
      </c>
      <c r="D44" s="6"/>
      <c r="E44" s="23" t="n">
        <f aca="false">'Equipamentos - FZ - Exp do Moura'!H110</f>
        <v>351.391666666667</v>
      </c>
    </row>
    <row r="45" customFormat="false" ht="15.25" hidden="false" customHeight="false" outlineLevel="0" collapsed="false">
      <c r="B45" s="10" t="s">
        <v>8</v>
      </c>
      <c r="C45" s="6" t="s">
        <v>54</v>
      </c>
      <c r="D45" s="6"/>
      <c r="E45" s="23" t="n">
        <f aca="false">'Equipamentos - FZ - Exp do Moura'!H108</f>
        <v>20.8206111111111</v>
      </c>
    </row>
    <row r="46" customFormat="false" ht="15.25" hidden="false" customHeight="false" outlineLevel="0" collapsed="false">
      <c r="B46" s="10" t="s">
        <v>11</v>
      </c>
      <c r="C46" s="6" t="s">
        <v>55</v>
      </c>
      <c r="D46" s="6"/>
      <c r="E46" s="23" t="n">
        <f aca="false">'Equipamentos - FZ - Exp do Moura'!H96</f>
        <v>9.24</v>
      </c>
    </row>
    <row r="47" customFormat="false" ht="15.25" hidden="false" customHeight="false" outlineLevel="0" collapsed="false">
      <c r="B47" s="10" t="s">
        <v>14</v>
      </c>
      <c r="C47" s="6" t="s">
        <v>56</v>
      </c>
      <c r="D47" s="6"/>
      <c r="E47" s="23" t="n">
        <v>4</v>
      </c>
    </row>
    <row r="48" customFormat="false" ht="15.25" hidden="false" customHeight="false" outlineLevel="0" collapsed="false">
      <c r="B48" s="10" t="s">
        <v>37</v>
      </c>
      <c r="C48" s="6" t="s">
        <v>146</v>
      </c>
      <c r="D48" s="6"/>
      <c r="E48" s="23" t="n">
        <f aca="false">'Equipamentos - FZ - Exp do Moura'!H100</f>
        <v>56.3020833333333</v>
      </c>
    </row>
    <row r="49" customFormat="false" ht="15.25" hidden="false" customHeight="false" outlineLevel="0" collapsed="false">
      <c r="B49" s="10" t="s">
        <v>39</v>
      </c>
      <c r="C49" s="6" t="s">
        <v>57</v>
      </c>
      <c r="D49" s="6"/>
      <c r="E49" s="23" t="n">
        <f aca="false">'Média Insumos e benefícios'!K24</f>
        <v>128.666666666667</v>
      </c>
    </row>
    <row r="50" customFormat="false" ht="15.25" hidden="false" customHeight="false" outlineLevel="0" collapsed="false">
      <c r="B50" s="10" t="s">
        <v>69</v>
      </c>
      <c r="C50" s="6" t="s">
        <v>147</v>
      </c>
      <c r="D50" s="6"/>
      <c r="E50" s="23" t="n">
        <f aca="false">'Equipamentos - FZ - Exp do Moura'!H104</f>
        <v>144</v>
      </c>
    </row>
    <row r="51" customFormat="false" ht="15.25" hidden="false" customHeight="false" outlineLevel="0" collapsed="false">
      <c r="B51" s="20" t="s">
        <v>58</v>
      </c>
      <c r="C51" s="20"/>
      <c r="D51" s="20"/>
      <c r="E51" s="33" t="n">
        <f aca="false">SUM(E44:E50)</f>
        <v>714.421027777778</v>
      </c>
    </row>
    <row r="52" customFormat="false" ht="15.25" hidden="false" customHeight="false" outlineLevel="0" collapsed="false">
      <c r="B52" s="2" t="s">
        <v>59</v>
      </c>
      <c r="C52" s="2"/>
      <c r="D52" s="2"/>
      <c r="E52" s="2"/>
    </row>
    <row r="53" customFormat="false" ht="17.25" hidden="false" customHeight="false" outlineLevel="0" collapsed="false">
      <c r="B53" s="34" t="s">
        <v>60</v>
      </c>
      <c r="C53" s="34"/>
      <c r="D53" s="34"/>
      <c r="E53" s="34"/>
    </row>
    <row r="54" customFormat="false" ht="17.25" hidden="false" customHeight="false" outlineLevel="0" collapsed="false">
      <c r="B54" s="2" t="s">
        <v>61</v>
      </c>
      <c r="C54" s="2" t="s">
        <v>62</v>
      </c>
      <c r="D54" s="10" t="s">
        <v>31</v>
      </c>
      <c r="E54" s="2" t="s">
        <v>32</v>
      </c>
    </row>
    <row r="55" customFormat="false" ht="17.25" hidden="false" customHeight="false" outlineLevel="0" collapsed="false">
      <c r="B55" s="10" t="s">
        <v>6</v>
      </c>
      <c r="C55" s="6" t="s">
        <v>63</v>
      </c>
      <c r="D55" s="35" t="n">
        <v>0.2</v>
      </c>
      <c r="E55" s="24" t="n">
        <f aca="false">$E$32*D55</f>
        <v>614.507381090909</v>
      </c>
    </row>
    <row r="56" customFormat="false" ht="17.25" hidden="false" customHeight="false" outlineLevel="0" collapsed="false">
      <c r="B56" s="10" t="s">
        <v>8</v>
      </c>
      <c r="C56" s="6" t="s">
        <v>64</v>
      </c>
      <c r="D56" s="35" t="n">
        <v>0.015</v>
      </c>
      <c r="E56" s="24" t="n">
        <f aca="false">$E$32*D56</f>
        <v>46.0880535818182</v>
      </c>
    </row>
    <row r="57" customFormat="false" ht="17.25" hidden="false" customHeight="false" outlineLevel="0" collapsed="false">
      <c r="B57" s="10" t="s">
        <v>11</v>
      </c>
      <c r="C57" s="6" t="s">
        <v>65</v>
      </c>
      <c r="D57" s="35" t="n">
        <v>0.01</v>
      </c>
      <c r="E57" s="24" t="n">
        <f aca="false">$E$32*D57</f>
        <v>30.7253690545455</v>
      </c>
    </row>
    <row r="58" customFormat="false" ht="17.25" hidden="false" customHeight="false" outlineLevel="0" collapsed="false">
      <c r="B58" s="10" t="s">
        <v>14</v>
      </c>
      <c r="C58" s="6" t="s">
        <v>66</v>
      </c>
      <c r="D58" s="35" t="n">
        <v>0.002</v>
      </c>
      <c r="E58" s="24" t="n">
        <f aca="false">$E$32*D58</f>
        <v>6.14507381090909</v>
      </c>
    </row>
    <row r="59" customFormat="false" ht="17.25" hidden="false" customHeight="false" outlineLevel="0" collapsed="false">
      <c r="B59" s="10" t="s">
        <v>37</v>
      </c>
      <c r="C59" s="6" t="s">
        <v>67</v>
      </c>
      <c r="D59" s="35" t="n">
        <v>0.025</v>
      </c>
      <c r="E59" s="24" t="n">
        <f aca="false">$E$32*D59</f>
        <v>76.8134226363636</v>
      </c>
    </row>
    <row r="60" customFormat="false" ht="17.25" hidden="false" customHeight="false" outlineLevel="0" collapsed="false">
      <c r="B60" s="10" t="s">
        <v>39</v>
      </c>
      <c r="C60" s="6" t="s">
        <v>68</v>
      </c>
      <c r="D60" s="35" t="n">
        <v>0.08</v>
      </c>
      <c r="E60" s="24" t="n">
        <f aca="false">$E$32*D60</f>
        <v>245.802952436364</v>
      </c>
    </row>
    <row r="61" customFormat="false" ht="17.25" hidden="false" customHeight="false" outlineLevel="0" collapsed="false">
      <c r="B61" s="10" t="s">
        <v>69</v>
      </c>
      <c r="C61" s="6" t="s">
        <v>70</v>
      </c>
      <c r="D61" s="35" t="n">
        <v>0.03</v>
      </c>
      <c r="E61" s="24" t="n">
        <f aca="false">$E$32*D61</f>
        <v>92.1761071636364</v>
      </c>
    </row>
    <row r="62" customFormat="false" ht="17.25" hidden="false" customHeight="false" outlineLevel="0" collapsed="false">
      <c r="B62" s="10" t="s">
        <v>71</v>
      </c>
      <c r="C62" s="6" t="s">
        <v>72</v>
      </c>
      <c r="D62" s="35" t="n">
        <v>0.006</v>
      </c>
      <c r="E62" s="24" t="n">
        <f aca="false">$E$32*D62</f>
        <v>18.4352214327273</v>
      </c>
    </row>
    <row r="63" customFormat="false" ht="17.25" hidden="false" customHeight="false" outlineLevel="0" collapsed="false">
      <c r="B63" s="20" t="s">
        <v>73</v>
      </c>
      <c r="C63" s="20"/>
      <c r="D63" s="38" t="n">
        <v>0.368</v>
      </c>
      <c r="E63" s="21" t="n">
        <f aca="false">$E$32*D63</f>
        <v>1130.69358120727</v>
      </c>
    </row>
    <row r="64" customFormat="false" ht="17.25" hidden="false" customHeight="false" outlineLevel="0" collapsed="false">
      <c r="B64" s="34" t="s">
        <v>74</v>
      </c>
      <c r="C64" s="34"/>
      <c r="D64" s="34"/>
      <c r="E64" s="34"/>
    </row>
    <row r="65" customFormat="false" ht="17.25" hidden="false" customHeight="false" outlineLevel="0" collapsed="false">
      <c r="B65" s="2" t="s">
        <v>75</v>
      </c>
      <c r="C65" s="34" t="s">
        <v>76</v>
      </c>
      <c r="D65" s="10" t="s">
        <v>31</v>
      </c>
      <c r="E65" s="2" t="s">
        <v>32</v>
      </c>
    </row>
    <row r="66" customFormat="false" ht="17.25" hidden="false" customHeight="false" outlineLevel="0" collapsed="false">
      <c r="B66" s="10" t="s">
        <v>6</v>
      </c>
      <c r="C66" s="6" t="s">
        <v>77</v>
      </c>
      <c r="D66" s="41" t="n">
        <v>0.0833</v>
      </c>
      <c r="E66" s="24" t="n">
        <f aca="false">$E$32*D66</f>
        <v>255.942324224364</v>
      </c>
    </row>
    <row r="67" customFormat="false" ht="17.25" hidden="false" customHeight="false" outlineLevel="0" collapsed="false">
      <c r="B67" s="10" t="s">
        <v>8</v>
      </c>
      <c r="C67" s="7" t="s">
        <v>78</v>
      </c>
      <c r="D67" s="41" t="n">
        <f aca="false">D66*D63</f>
        <v>0.0306544</v>
      </c>
      <c r="E67" s="24" t="n">
        <f aca="false">$E$32*D67</f>
        <v>94.1867753145658</v>
      </c>
    </row>
    <row r="68" customFormat="false" ht="17.25" hidden="false" customHeight="false" outlineLevel="0" collapsed="false">
      <c r="B68" s="20" t="s">
        <v>73</v>
      </c>
      <c r="C68" s="20"/>
      <c r="D68" s="41" t="n">
        <v>0.1139544</v>
      </c>
      <c r="E68" s="21" t="n">
        <f aca="false">$E$32*D68</f>
        <v>350.129099538929</v>
      </c>
    </row>
    <row r="69" customFormat="false" ht="17.25" hidden="false" customHeight="false" outlineLevel="0" collapsed="false">
      <c r="B69" s="34" t="s">
        <v>79</v>
      </c>
      <c r="C69" s="34"/>
      <c r="D69" s="34"/>
      <c r="E69" s="34"/>
    </row>
    <row r="70" customFormat="false" ht="17.25" hidden="false" customHeight="false" outlineLevel="0" collapsed="false">
      <c r="B70" s="2" t="s">
        <v>80</v>
      </c>
      <c r="C70" s="2" t="s">
        <v>81</v>
      </c>
      <c r="D70" s="10" t="s">
        <v>31</v>
      </c>
      <c r="E70" s="2" t="s">
        <v>32</v>
      </c>
    </row>
    <row r="71" customFormat="false" ht="17.25" hidden="false" customHeight="false" outlineLevel="0" collapsed="false">
      <c r="B71" s="10" t="s">
        <v>6</v>
      </c>
      <c r="C71" s="6" t="s">
        <v>81</v>
      </c>
      <c r="D71" s="44" t="n">
        <v>0.00074</v>
      </c>
      <c r="E71" s="24" t="n">
        <f aca="false">$E$32*D71</f>
        <v>2.27367731003636</v>
      </c>
    </row>
    <row r="72" customFormat="false" ht="17.25" hidden="false" customHeight="false" outlineLevel="0" collapsed="false">
      <c r="B72" s="10" t="s">
        <v>8</v>
      </c>
      <c r="C72" s="7" t="s">
        <v>82</v>
      </c>
      <c r="D72" s="44" t="n">
        <f aca="false">D71*D63</f>
        <v>0.00027232</v>
      </c>
      <c r="E72" s="24" t="n">
        <f aca="false">$E$32*D72</f>
        <v>0.836713250093382</v>
      </c>
    </row>
    <row r="73" customFormat="false" ht="17.25" hidden="false" customHeight="false" outlineLevel="0" collapsed="false">
      <c r="B73" s="20" t="s">
        <v>73</v>
      </c>
      <c r="C73" s="20"/>
      <c r="D73" s="46" t="n">
        <v>0.00104</v>
      </c>
      <c r="E73" s="21" t="n">
        <f aca="false">$E$32*D73</f>
        <v>3.19543838167273</v>
      </c>
    </row>
    <row r="74" customFormat="false" ht="17.25" hidden="false" customHeight="false" outlineLevel="0" collapsed="false">
      <c r="B74" s="34" t="s">
        <v>83</v>
      </c>
      <c r="C74" s="34"/>
      <c r="D74" s="34"/>
      <c r="E74" s="34"/>
    </row>
    <row r="75" customFormat="false" ht="17.25" hidden="false" customHeight="false" outlineLevel="0" collapsed="false">
      <c r="B75" s="2" t="s">
        <v>84</v>
      </c>
      <c r="C75" s="2" t="s">
        <v>85</v>
      </c>
      <c r="D75" s="10" t="s">
        <v>31</v>
      </c>
      <c r="E75" s="2" t="s">
        <v>32</v>
      </c>
    </row>
    <row r="76" customFormat="false" ht="17.25" hidden="false" customHeight="false" outlineLevel="0" collapsed="false">
      <c r="B76" s="10" t="s">
        <v>6</v>
      </c>
      <c r="C76" s="6" t="s">
        <v>86</v>
      </c>
      <c r="D76" s="41" t="n">
        <v>0.00416666666666667</v>
      </c>
      <c r="E76" s="24" t="n">
        <f aca="false">$E$32*D76</f>
        <v>12.8022371060606</v>
      </c>
    </row>
    <row r="77" customFormat="false" ht="17.25" hidden="false" customHeight="false" outlineLevel="0" collapsed="false">
      <c r="B77" s="10" t="s">
        <v>8</v>
      </c>
      <c r="C77" s="7" t="s">
        <v>87</v>
      </c>
      <c r="D77" s="41" t="n">
        <v>0.000333333333333333</v>
      </c>
      <c r="E77" s="24" t="n">
        <f aca="false">$E$32*D77</f>
        <v>1.02417896848485</v>
      </c>
    </row>
    <row r="78" customFormat="false" ht="17.25" hidden="false" customHeight="false" outlineLevel="0" collapsed="false">
      <c r="B78" s="10" t="s">
        <v>11</v>
      </c>
      <c r="C78" s="6" t="s">
        <v>88</v>
      </c>
      <c r="D78" s="41" t="n">
        <v>0.043</v>
      </c>
      <c r="E78" s="24" t="n">
        <f aca="false">$E$32*D78</f>
        <v>132.119086934545</v>
      </c>
    </row>
    <row r="79" customFormat="false" ht="17.25" hidden="false" customHeight="false" outlineLevel="0" collapsed="false">
      <c r="B79" s="10" t="s">
        <v>14</v>
      </c>
      <c r="C79" s="6" t="s">
        <v>89</v>
      </c>
      <c r="D79" s="47" t="n">
        <v>0.0194444444444444</v>
      </c>
      <c r="E79" s="24" t="n">
        <f aca="false">$E$32*D79</f>
        <v>59.743773161616</v>
      </c>
    </row>
    <row r="80" customFormat="false" ht="17.25" hidden="false" customHeight="false" outlineLevel="0" collapsed="false">
      <c r="B80" s="10" t="s">
        <v>37</v>
      </c>
      <c r="C80" s="7" t="s">
        <v>90</v>
      </c>
      <c r="D80" s="41" t="n">
        <v>0.00715555555555556</v>
      </c>
      <c r="E80" s="24" t="n">
        <f aca="false">$E$32*D80</f>
        <v>21.9857085234748</v>
      </c>
    </row>
    <row r="81" customFormat="false" ht="17.25" hidden="false" customHeight="false" outlineLevel="0" collapsed="false">
      <c r="B81" s="10" t="s">
        <v>39</v>
      </c>
      <c r="C81" s="6" t="s">
        <v>91</v>
      </c>
      <c r="D81" s="41" t="n">
        <v>0.000776</v>
      </c>
      <c r="E81" s="24" t="n">
        <f aca="false">$E$32*D81</f>
        <v>2.38428863863273</v>
      </c>
    </row>
    <row r="82" customFormat="false" ht="17.25" hidden="false" customHeight="false" outlineLevel="0" collapsed="false">
      <c r="B82" s="20" t="s">
        <v>73</v>
      </c>
      <c r="C82" s="20"/>
      <c r="D82" s="41" t="n">
        <v>0.074876</v>
      </c>
      <c r="E82" s="21" t="n">
        <f aca="false">$E$32*D82</f>
        <v>230.059273332815</v>
      </c>
    </row>
    <row r="83" customFormat="false" ht="17.25" hidden="false" customHeight="false" outlineLevel="0" collapsed="false">
      <c r="B83" s="34" t="s">
        <v>92</v>
      </c>
      <c r="C83" s="34"/>
      <c r="D83" s="34"/>
      <c r="E83" s="34"/>
    </row>
    <row r="84" customFormat="false" ht="17.25" hidden="false" customHeight="false" outlineLevel="0" collapsed="false">
      <c r="B84" s="2" t="s">
        <v>93</v>
      </c>
      <c r="C84" s="14" t="s">
        <v>94</v>
      </c>
      <c r="D84" s="48" t="s">
        <v>31</v>
      </c>
      <c r="E84" s="2" t="s">
        <v>32</v>
      </c>
    </row>
    <row r="85" customFormat="false" ht="17.25" hidden="false" customHeight="false" outlineLevel="0" collapsed="false">
      <c r="B85" s="10" t="s">
        <v>6</v>
      </c>
      <c r="C85" s="6" t="s">
        <v>95</v>
      </c>
      <c r="D85" s="49" t="n">
        <v>0.1111</v>
      </c>
      <c r="E85" s="24" t="n">
        <f aca="false">$E$32*D85</f>
        <v>341.358850196</v>
      </c>
    </row>
    <row r="86" customFormat="false" ht="17.25" hidden="false" customHeight="false" outlineLevel="0" collapsed="false">
      <c r="B86" s="10" t="s">
        <v>8</v>
      </c>
      <c r="C86" s="6" t="s">
        <v>96</v>
      </c>
      <c r="D86" s="49" t="n">
        <v>0.0166</v>
      </c>
      <c r="E86" s="24" t="n">
        <f aca="false">$E$32*D86</f>
        <v>51.0041126305455</v>
      </c>
    </row>
    <row r="87" customFormat="false" ht="17.25" hidden="false" customHeight="false" outlineLevel="0" collapsed="false">
      <c r="B87" s="10" t="s">
        <v>11</v>
      </c>
      <c r="C87" s="6" t="s">
        <v>97</v>
      </c>
      <c r="D87" s="49" t="n">
        <v>0.0002</v>
      </c>
      <c r="E87" s="24" t="n">
        <f aca="false">$E$32*D87</f>
        <v>0.614507381090909</v>
      </c>
    </row>
    <row r="88" customFormat="false" ht="17.25" hidden="false" customHeight="false" outlineLevel="0" collapsed="false">
      <c r="B88" s="10" t="s">
        <v>14</v>
      </c>
      <c r="C88" s="6" t="s">
        <v>98</v>
      </c>
      <c r="D88" s="49" t="n">
        <v>0.0028</v>
      </c>
      <c r="E88" s="24" t="n">
        <f aca="false">$E$32*D88</f>
        <v>8.60310333527273</v>
      </c>
    </row>
    <row r="89" customFormat="false" ht="17.25" hidden="false" customHeight="false" outlineLevel="0" collapsed="false">
      <c r="B89" s="10" t="s">
        <v>37</v>
      </c>
      <c r="C89" s="6" t="s">
        <v>99</v>
      </c>
      <c r="D89" s="49" t="n">
        <v>0.0003</v>
      </c>
      <c r="E89" s="24" t="n">
        <f aca="false">$E$32*D89</f>
        <v>0.921761071636364</v>
      </c>
    </row>
    <row r="90" customFormat="false" ht="17.25" hidden="false" customHeight="false" outlineLevel="0" collapsed="false">
      <c r="B90" s="10" t="s">
        <v>39</v>
      </c>
      <c r="C90" s="6" t="s">
        <v>100</v>
      </c>
      <c r="D90" s="49"/>
      <c r="E90" s="24" t="n">
        <v>0</v>
      </c>
    </row>
    <row r="91" customFormat="false" ht="17.25" hidden="false" customHeight="false" outlineLevel="0" collapsed="false">
      <c r="B91" s="34" t="s">
        <v>101</v>
      </c>
      <c r="C91" s="34"/>
      <c r="D91" s="53" t="n">
        <v>0.131</v>
      </c>
      <c r="E91" s="21" t="n">
        <f aca="false">$E$32*D91</f>
        <v>402.502334614545</v>
      </c>
    </row>
    <row r="92" customFormat="false" ht="17.25" hidden="false" customHeight="false" outlineLevel="0" collapsed="false">
      <c r="B92" s="10" t="s">
        <v>69</v>
      </c>
      <c r="C92" s="54" t="s">
        <v>102</v>
      </c>
      <c r="D92" s="49" t="n">
        <v>0.048208</v>
      </c>
      <c r="E92" s="24" t="n">
        <f aca="false">$E$32*D92</f>
        <v>148.120859138153</v>
      </c>
    </row>
    <row r="93" customFormat="false" ht="17.25" hidden="false" customHeight="false" outlineLevel="0" collapsed="false">
      <c r="B93" s="20" t="s">
        <v>73</v>
      </c>
      <c r="C93" s="20"/>
      <c r="D93" s="53" t="n">
        <v>0.179208</v>
      </c>
      <c r="E93" s="21" t="n">
        <f aca="false">$E$32*D93</f>
        <v>550.623193752698</v>
      </c>
    </row>
    <row r="94" customFormat="false" ht="17.25" hidden="false" customHeight="true" outlineLevel="0" collapsed="false">
      <c r="B94" s="14" t="s">
        <v>103</v>
      </c>
      <c r="C94" s="14"/>
      <c r="D94" s="14"/>
      <c r="E94" s="14"/>
    </row>
    <row r="95" customFormat="false" ht="17.25" hidden="false" customHeight="false" outlineLevel="0" collapsed="false">
      <c r="B95" s="2" t="n">
        <v>4</v>
      </c>
      <c r="C95" s="2" t="s">
        <v>104</v>
      </c>
      <c r="D95" s="10" t="s">
        <v>31</v>
      </c>
      <c r="E95" s="2" t="s">
        <v>32</v>
      </c>
    </row>
    <row r="96" customFormat="false" ht="17.25" hidden="false" customHeight="false" outlineLevel="0" collapsed="false">
      <c r="B96" s="10" t="s">
        <v>105</v>
      </c>
      <c r="C96" s="6" t="s">
        <v>106</v>
      </c>
      <c r="D96" s="56" t="n">
        <v>0.368</v>
      </c>
      <c r="E96" s="24" t="n">
        <f aca="false">$E$32*D96</f>
        <v>1130.69358120727</v>
      </c>
    </row>
    <row r="97" customFormat="false" ht="17.25" hidden="false" customHeight="false" outlineLevel="0" collapsed="false">
      <c r="B97" s="10" t="s">
        <v>107</v>
      </c>
      <c r="C97" s="6" t="s">
        <v>108</v>
      </c>
      <c r="D97" s="56" t="n">
        <v>0.1139544</v>
      </c>
      <c r="E97" s="24" t="n">
        <f aca="false">$E$32*D97</f>
        <v>350.129099538929</v>
      </c>
    </row>
    <row r="98" customFormat="false" ht="17.25" hidden="false" customHeight="false" outlineLevel="0" collapsed="false">
      <c r="B98" s="10" t="s">
        <v>109</v>
      </c>
      <c r="C98" s="6" t="s">
        <v>110</v>
      </c>
      <c r="D98" s="56" t="n">
        <v>0.00104</v>
      </c>
      <c r="E98" s="24" t="n">
        <f aca="false">$E$32*D98</f>
        <v>3.19543838167273</v>
      </c>
    </row>
    <row r="99" customFormat="false" ht="17.25" hidden="false" customHeight="false" outlineLevel="0" collapsed="false">
      <c r="B99" s="10" t="s">
        <v>111</v>
      </c>
      <c r="C99" s="6" t="s">
        <v>112</v>
      </c>
      <c r="D99" s="56" t="n">
        <v>0.074876</v>
      </c>
      <c r="E99" s="24" t="n">
        <f aca="false">$E$32*D99</f>
        <v>230.059273332815</v>
      </c>
    </row>
    <row r="100" customFormat="false" ht="17.25" hidden="false" customHeight="false" outlineLevel="0" collapsed="false">
      <c r="B100" s="10" t="s">
        <v>113</v>
      </c>
      <c r="C100" s="6" t="s">
        <v>114</v>
      </c>
      <c r="D100" s="56" t="n">
        <v>0.179208</v>
      </c>
      <c r="E100" s="24" t="n">
        <f aca="false">$E$32*D100</f>
        <v>550.623193752698</v>
      </c>
    </row>
    <row r="101" customFormat="false" ht="17.25" hidden="false" customHeight="false" outlineLevel="0" collapsed="false">
      <c r="B101" s="10" t="s">
        <v>115</v>
      </c>
      <c r="C101" s="6" t="s">
        <v>100</v>
      </c>
      <c r="D101" s="56"/>
      <c r="E101" s="24"/>
    </row>
    <row r="102" customFormat="false" ht="17.25" hidden="false" customHeight="false" outlineLevel="0" collapsed="false">
      <c r="B102" s="20" t="s">
        <v>73</v>
      </c>
      <c r="C102" s="20"/>
      <c r="D102" s="57" t="n">
        <v>0.7370784</v>
      </c>
      <c r="E102" s="21" t="n">
        <f aca="false">$E$32*D102</f>
        <v>2264.70058621339</v>
      </c>
    </row>
    <row r="103" customFormat="false" ht="17.2" hidden="false" customHeight="false" outlineLevel="0" collapsed="false">
      <c r="B103" s="2" t="s">
        <v>116</v>
      </c>
      <c r="C103" s="2"/>
      <c r="D103" s="2"/>
      <c r="E103" s="2"/>
    </row>
    <row r="104" customFormat="false" ht="17.25" hidden="false" customHeight="false" outlineLevel="0" collapsed="false">
      <c r="B104" s="2" t="n">
        <v>5</v>
      </c>
      <c r="C104" s="2" t="s">
        <v>117</v>
      </c>
      <c r="D104" s="10" t="s">
        <v>31</v>
      </c>
      <c r="E104" s="2" t="s">
        <v>32</v>
      </c>
    </row>
    <row r="105" customFormat="false" ht="17.25" hidden="false" customHeight="false" outlineLevel="0" collapsed="false">
      <c r="B105" s="10" t="s">
        <v>6</v>
      </c>
      <c r="C105" s="59" t="s">
        <v>118</v>
      </c>
      <c r="D105" s="38" t="n">
        <v>0.06</v>
      </c>
      <c r="E105" s="33" t="n">
        <f aca="false">E124*D105</f>
        <v>401.314211166743</v>
      </c>
    </row>
    <row r="106" customFormat="false" ht="17.25" hidden="false" customHeight="false" outlineLevel="0" collapsed="false">
      <c r="B106" s="10" t="s">
        <v>8</v>
      </c>
      <c r="C106" s="59" t="s">
        <v>119</v>
      </c>
      <c r="D106" s="38" t="n">
        <v>0.0679</v>
      </c>
      <c r="E106" s="33" t="n">
        <f aca="false">(E124+E105)*D106</f>
        <v>481.403150575252</v>
      </c>
    </row>
    <row r="107" customFormat="false" ht="17.25" hidden="false" customHeight="false" outlineLevel="0" collapsed="false">
      <c r="B107" s="10" t="s">
        <v>11</v>
      </c>
      <c r="C107" s="59" t="s">
        <v>120</v>
      </c>
      <c r="D107" s="6"/>
      <c r="E107" s="6"/>
    </row>
    <row r="108" customFormat="false" ht="17.25" hidden="false" customHeight="false" outlineLevel="0" collapsed="false">
      <c r="B108" s="60" t="s">
        <v>121</v>
      </c>
      <c r="C108" s="6" t="s">
        <v>122</v>
      </c>
      <c r="D108" s="61" t="n">
        <v>3</v>
      </c>
      <c r="E108" s="62" t="n">
        <f aca="false">E126*D108/100</f>
        <v>240.740462570886</v>
      </c>
    </row>
    <row r="109" customFormat="false" ht="17.25" hidden="false" customHeight="false" outlineLevel="0" collapsed="false">
      <c r="B109" s="60"/>
      <c r="C109" s="6" t="s">
        <v>123</v>
      </c>
      <c r="D109" s="61" t="n">
        <v>0.65</v>
      </c>
      <c r="E109" s="62" t="n">
        <f aca="false">E126*D109/100</f>
        <v>52.1604335570254</v>
      </c>
    </row>
    <row r="110" customFormat="false" ht="17.25" hidden="false" customHeight="false" outlineLevel="0" collapsed="false">
      <c r="B110" s="60" t="s">
        <v>124</v>
      </c>
      <c r="C110" s="6" t="s">
        <v>125</v>
      </c>
      <c r="D110" s="61"/>
      <c r="E110" s="62"/>
    </row>
    <row r="111" customFormat="false" ht="15.9" hidden="false" customHeight="false" outlineLevel="0" collapsed="false">
      <c r="B111" s="60" t="s">
        <v>126</v>
      </c>
      <c r="C111" s="6" t="s">
        <v>127</v>
      </c>
      <c r="D111" s="61" t="n">
        <v>2</v>
      </c>
      <c r="E111" s="62" t="n">
        <f aca="false">E126*D111/100</f>
        <v>160.493641713924</v>
      </c>
    </row>
    <row r="112" customFormat="false" ht="17.25" hidden="false" customHeight="false" outlineLevel="0" collapsed="false">
      <c r="B112" s="60" t="s">
        <v>128</v>
      </c>
      <c r="C112" s="6" t="s">
        <v>129</v>
      </c>
      <c r="D112" s="38"/>
      <c r="E112" s="62"/>
    </row>
    <row r="114" customFormat="false" ht="17.25" hidden="false" customHeight="false" outlineLevel="0" collapsed="false">
      <c r="B114" s="20" t="s">
        <v>130</v>
      </c>
      <c r="C114" s="20"/>
      <c r="D114" s="2" t="n">
        <v>11.25</v>
      </c>
      <c r="E114" s="33" t="n">
        <f aca="false">SUM(E105:E111)</f>
        <v>1336.11189958383</v>
      </c>
    </row>
    <row r="115" customFormat="false" ht="17.25" hidden="false" customHeight="true" outlineLevel="0" collapsed="false">
      <c r="B115" s="65" t="s">
        <v>131</v>
      </c>
      <c r="C115" s="65"/>
      <c r="D115" s="66" t="n">
        <f aca="false">(1-(D108+D109+D111)/100)</f>
        <v>0.9435</v>
      </c>
      <c r="E115" s="67"/>
    </row>
    <row r="116" customFormat="false" ht="17.25" hidden="false" customHeight="false" outlineLevel="0" collapsed="false">
      <c r="B116" s="65"/>
      <c r="C116" s="65"/>
      <c r="D116" s="68" t="n">
        <f aca="false">(E124+E105+E106)/D115</f>
        <v>8024.68208569621</v>
      </c>
      <c r="E116" s="69"/>
    </row>
    <row r="117" customFormat="false" ht="17.25" hidden="false" customHeight="true" outlineLevel="0" collapsed="false">
      <c r="B117" s="4" t="s">
        <v>132</v>
      </c>
      <c r="C117" s="4"/>
      <c r="D117" s="33"/>
      <c r="E117" s="71"/>
    </row>
    <row r="118" customFormat="false" ht="17.25" hidden="false" customHeight="true" outlineLevel="0" collapsed="false">
      <c r="B118" s="2" t="s">
        <v>133</v>
      </c>
      <c r="C118" s="2"/>
      <c r="D118" s="2"/>
      <c r="E118" s="2"/>
    </row>
    <row r="119" customFormat="false" ht="17.25" hidden="false" customHeight="true" outlineLevel="0" collapsed="false">
      <c r="B119" s="2"/>
      <c r="C119" s="14" t="s">
        <v>134</v>
      </c>
      <c r="D119" s="14"/>
      <c r="E119" s="2" t="s">
        <v>32</v>
      </c>
    </row>
    <row r="120" customFormat="false" ht="17.25" hidden="false" customHeight="false" outlineLevel="0" collapsed="false">
      <c r="B120" s="10" t="s">
        <v>6</v>
      </c>
      <c r="C120" s="34" t="s">
        <v>135</v>
      </c>
      <c r="D120" s="34"/>
      <c r="E120" s="71" t="n">
        <f aca="false">E32</f>
        <v>3072.53690545455</v>
      </c>
    </row>
    <row r="121" customFormat="false" ht="17.25" hidden="false" customHeight="true" outlineLevel="0" collapsed="false">
      <c r="B121" s="10" t="s">
        <v>8</v>
      </c>
      <c r="C121" s="34" t="s">
        <v>136</v>
      </c>
      <c r="D121" s="34"/>
      <c r="E121" s="23" t="n">
        <f aca="false">E41</f>
        <v>636.911666666667</v>
      </c>
    </row>
    <row r="122" customFormat="false" ht="17.25" hidden="false" customHeight="false" outlineLevel="0" collapsed="false">
      <c r="B122" s="10" t="s">
        <v>11</v>
      </c>
      <c r="C122" s="34" t="s">
        <v>137</v>
      </c>
      <c r="D122" s="34"/>
      <c r="E122" s="71" t="n">
        <f aca="false">E51</f>
        <v>714.421027777778</v>
      </c>
    </row>
    <row r="123" customFormat="false" ht="17.25" hidden="false" customHeight="false" outlineLevel="0" collapsed="false">
      <c r="B123" s="10" t="s">
        <v>14</v>
      </c>
      <c r="C123" s="34" t="s">
        <v>138</v>
      </c>
      <c r="D123" s="34"/>
      <c r="E123" s="23" t="n">
        <f aca="false">E102</f>
        <v>2264.70058621339</v>
      </c>
    </row>
    <row r="124" customFormat="false" ht="17.25" hidden="false" customHeight="false" outlineLevel="0" collapsed="false">
      <c r="B124" s="20" t="s">
        <v>139</v>
      </c>
      <c r="C124" s="20"/>
      <c r="D124" s="20"/>
      <c r="E124" s="72" t="n">
        <f aca="false">SUM(E120:E123)</f>
        <v>6688.57018611238</v>
      </c>
    </row>
    <row r="125" customFormat="false" ht="17.25" hidden="false" customHeight="false" outlineLevel="0" collapsed="false">
      <c r="B125" s="10" t="s">
        <v>37</v>
      </c>
      <c r="C125" s="2" t="s">
        <v>140</v>
      </c>
      <c r="D125" s="2"/>
      <c r="E125" s="23" t="n">
        <f aca="false">E114</f>
        <v>1336.11189958383</v>
      </c>
    </row>
    <row r="126" customFormat="false" ht="17.25" hidden="false" customHeight="false" outlineLevel="0" collapsed="false">
      <c r="B126" s="2" t="s">
        <v>141</v>
      </c>
      <c r="C126" s="2"/>
      <c r="D126" s="2"/>
      <c r="E126" s="73" t="n">
        <f aca="false">(E124+E105+E106)/(1-(D108+D109+D111)/100)</f>
        <v>8024.68208569621</v>
      </c>
    </row>
    <row r="127" customFormat="false" ht="17.25" hidden="false" customHeight="false" outlineLevel="0" collapsed="false">
      <c r="B127" s="2" t="s">
        <v>142</v>
      </c>
      <c r="C127" s="2"/>
      <c r="D127" s="2"/>
      <c r="E127" s="73" t="n">
        <f aca="false">E126*2</f>
        <v>16049.3641713924</v>
      </c>
    </row>
    <row r="1048573" customFormat="false" ht="12.85" hidden="false" customHeight="false" outlineLevel="0" collapsed="false"/>
    <row r="1048574" customFormat="false" ht="12.85" hidden="false" customHeight="false" outlineLevel="0" collapsed="false"/>
    <row r="1048575" customFormat="false" ht="12.85" hidden="false" customHeight="false" outlineLevel="0" collapsed="false"/>
    <row r="1048576" customFormat="false" ht="12.85" hidden="false" customHeight="false" outlineLevel="0" collapsed="false"/>
  </sheetData>
  <mergeCells count="58">
    <mergeCell ref="B3:E5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B24:E24"/>
    <mergeCell ref="B32:D32"/>
    <mergeCell ref="B33:E33"/>
    <mergeCell ref="B41:D41"/>
    <mergeCell ref="B42:E42"/>
    <mergeCell ref="B51:D51"/>
    <mergeCell ref="B52:E52"/>
    <mergeCell ref="B53:E53"/>
    <mergeCell ref="B63:C63"/>
    <mergeCell ref="B64:E64"/>
    <mergeCell ref="B68:C68"/>
    <mergeCell ref="B69:E69"/>
    <mergeCell ref="B73:C73"/>
    <mergeCell ref="B74:E74"/>
    <mergeCell ref="B82:C82"/>
    <mergeCell ref="B83:E83"/>
    <mergeCell ref="B91:C91"/>
    <mergeCell ref="B93:C93"/>
    <mergeCell ref="B94:E94"/>
    <mergeCell ref="B102:C102"/>
    <mergeCell ref="B103:E103"/>
    <mergeCell ref="B108:B109"/>
    <mergeCell ref="B114:C114"/>
    <mergeCell ref="B115:C116"/>
    <mergeCell ref="B117:C117"/>
    <mergeCell ref="B118:E118"/>
    <mergeCell ref="C119:D119"/>
    <mergeCell ref="C120:D120"/>
    <mergeCell ref="C121:D121"/>
    <mergeCell ref="C122:D122"/>
    <mergeCell ref="C123:D123"/>
    <mergeCell ref="B124:D124"/>
    <mergeCell ref="C125:D125"/>
    <mergeCell ref="B126:D126"/>
    <mergeCell ref="B127:D12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E127"/>
  <sheetViews>
    <sheetView windowProtection="false" showFormulas="false" showGridLines="true" showRowColHeaders="true" showZeros="true" rightToLeft="false" tabSelected="false" showOutlineSymbols="true" defaultGridColor="true" view="normal" topLeftCell="A25" colorId="64" zoomScale="75" zoomScaleNormal="75" zoomScalePageLayoutView="100" workbookViewId="0">
      <selection pane="topLeft" activeCell="D37" activeCellId="0" sqref="D37"/>
    </sheetView>
  </sheetViews>
  <sheetFormatPr defaultRowHeight="14.05"/>
  <cols>
    <col collapsed="false" hidden="false" max="2" min="1" style="0" width="10.5023255813953"/>
    <col collapsed="false" hidden="false" max="3" min="3" style="0" width="49.8790697674419"/>
    <col collapsed="false" hidden="false" max="4" min="4" style="0" width="20.9441860465116"/>
    <col collapsed="false" hidden="false" max="5" min="5" style="0" width="13.8"/>
    <col collapsed="false" hidden="false" max="1025" min="6" style="0" width="10.5023255813953"/>
  </cols>
  <sheetData>
    <row r="3" customFormat="false" ht="14.05" hidden="false" customHeight="false" outlineLevel="0" collapsed="false">
      <c r="B3" s="2" t="s">
        <v>0</v>
      </c>
      <c r="C3" s="2"/>
      <c r="D3" s="2"/>
      <c r="E3" s="2"/>
    </row>
    <row r="4" customFormat="false" ht="14.05" hidden="false" customHeight="false" outlineLevel="0" collapsed="false">
      <c r="B4" s="2"/>
      <c r="C4" s="2"/>
      <c r="D4" s="2"/>
      <c r="E4" s="2"/>
    </row>
    <row r="5" customFormat="false" ht="14.05" hidden="false" customHeight="false" outlineLevel="0" collapsed="false">
      <c r="B5" s="2"/>
      <c r="C5" s="2"/>
      <c r="D5" s="2"/>
      <c r="E5" s="2"/>
    </row>
    <row r="6" customFormat="false" ht="15.25" hidden="false" customHeight="false" outlineLevel="0" collapsed="false">
      <c r="B6" s="4" t="s">
        <v>1</v>
      </c>
      <c r="C6" s="4"/>
      <c r="D6" s="5"/>
      <c r="E6" s="5"/>
    </row>
    <row r="7" customFormat="false" ht="15.25" hidden="false" customHeight="false" outlineLevel="0" collapsed="false">
      <c r="B7" s="4" t="s">
        <v>2</v>
      </c>
      <c r="C7" s="4"/>
      <c r="D7" s="5"/>
      <c r="E7" s="5"/>
    </row>
    <row r="8" customFormat="false" ht="15.25" hidden="false" customHeight="false" outlineLevel="0" collapsed="false">
      <c r="B8" s="4" t="s">
        <v>3</v>
      </c>
      <c r="C8" s="4"/>
      <c r="D8" s="5"/>
      <c r="E8" s="5"/>
    </row>
    <row r="9" customFormat="false" ht="15.25" hidden="false" customHeight="false" outlineLevel="0" collapsed="false">
      <c r="B9" s="4" t="s">
        <v>4</v>
      </c>
      <c r="C9" s="4"/>
      <c r="D9" s="5"/>
      <c r="E9" s="5"/>
    </row>
    <row r="10" customFormat="false" ht="15.25" hidden="false" customHeight="false" outlineLevel="0" collapsed="false">
      <c r="B10" s="2" t="s">
        <v>5</v>
      </c>
      <c r="C10" s="2"/>
      <c r="D10" s="2"/>
      <c r="E10" s="2"/>
    </row>
    <row r="11" customFormat="false" ht="15.25" hidden="false" customHeight="false" outlineLevel="0" collapsed="false">
      <c r="B11" s="6" t="s">
        <v>6</v>
      </c>
      <c r="C11" s="6" t="s">
        <v>7</v>
      </c>
      <c r="D11" s="5"/>
      <c r="E11" s="5"/>
    </row>
    <row r="12" customFormat="false" ht="15.25" hidden="false" customHeight="false" outlineLevel="0" collapsed="false">
      <c r="B12" s="6" t="s">
        <v>8</v>
      </c>
      <c r="C12" s="6" t="s">
        <v>9</v>
      </c>
      <c r="D12" s="2" t="s">
        <v>162</v>
      </c>
      <c r="E12" s="2"/>
    </row>
    <row r="13" customFormat="false" ht="23.9" hidden="false" customHeight="true" outlineLevel="0" collapsed="false">
      <c r="B13" s="6" t="s">
        <v>11</v>
      </c>
      <c r="C13" s="7" t="s">
        <v>12</v>
      </c>
      <c r="D13" s="2" t="s">
        <v>13</v>
      </c>
      <c r="E13" s="2"/>
    </row>
    <row r="14" customFormat="false" ht="15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</row>
    <row r="15" customFormat="false" ht="15.25" hidden="false" customHeight="false" outlineLevel="0" collapsed="false">
      <c r="B15" s="2" t="s">
        <v>16</v>
      </c>
      <c r="C15" s="2"/>
      <c r="D15" s="2"/>
      <c r="E15" s="2"/>
    </row>
    <row r="16" customFormat="false" ht="68.65" hidden="false" customHeight="true" outlineLevel="0" collapsed="false">
      <c r="B16" s="9" t="s">
        <v>17</v>
      </c>
      <c r="C16" s="9"/>
      <c r="D16" s="9" t="s">
        <v>18</v>
      </c>
      <c r="E16" s="9" t="s">
        <v>19</v>
      </c>
    </row>
    <row r="17" customFormat="false" ht="15.25" hidden="false" customHeight="false" outlineLevel="0" collapsed="false">
      <c r="B17" s="2" t="s">
        <v>20</v>
      </c>
      <c r="C17" s="2"/>
      <c r="D17" s="6" t="s">
        <v>21</v>
      </c>
      <c r="E17" s="2" t="n">
        <v>1</v>
      </c>
    </row>
    <row r="18" customFormat="false" ht="15.25" hidden="false" customHeight="false" outlineLevel="0" collapsed="false">
      <c r="B18" s="2" t="s">
        <v>22</v>
      </c>
      <c r="C18" s="2"/>
      <c r="D18" s="2"/>
      <c r="E18" s="2"/>
    </row>
    <row r="19" customFormat="false" ht="14.9" hidden="false" customHeight="false" outlineLevel="0" collapsed="false">
      <c r="B19" s="2" t="s">
        <v>23</v>
      </c>
      <c r="C19" s="2"/>
      <c r="D19" s="2"/>
      <c r="E19" s="2"/>
    </row>
    <row r="20" customFormat="false" ht="15.25" hidden="false" customHeight="false" outlineLevel="0" collapsed="false">
      <c r="B20" s="10" t="n">
        <v>1</v>
      </c>
      <c r="C20" s="6" t="s">
        <v>24</v>
      </c>
      <c r="D20" s="11" t="s">
        <v>144</v>
      </c>
      <c r="E20" s="11"/>
    </row>
    <row r="21" customFormat="false" ht="15.25" hidden="false" customHeight="false" outlineLevel="0" collapsed="false">
      <c r="B21" s="10" t="n">
        <v>2</v>
      </c>
      <c r="C21" s="6" t="s">
        <v>26</v>
      </c>
      <c r="D21" s="12" t="n">
        <v>1602.86</v>
      </c>
      <c r="E21" s="12"/>
    </row>
    <row r="22" customFormat="false" ht="15.25" hidden="false" customHeight="false" outlineLevel="0" collapsed="false">
      <c r="B22" s="10" t="n">
        <v>3</v>
      </c>
      <c r="C22" s="6" t="s">
        <v>27</v>
      </c>
      <c r="D22" s="11" t="s">
        <v>144</v>
      </c>
      <c r="E22" s="11"/>
    </row>
    <row r="23" customFormat="false" ht="15.25" hidden="false" customHeight="false" outlineLevel="0" collapsed="false">
      <c r="B23" s="10" t="n">
        <v>4</v>
      </c>
      <c r="C23" s="6" t="s">
        <v>28</v>
      </c>
      <c r="D23" s="13" t="n">
        <v>42736</v>
      </c>
      <c r="E23" s="13"/>
    </row>
    <row r="24" customFormat="false" ht="15.25" hidden="false" customHeight="false" outlineLevel="0" collapsed="false">
      <c r="B24" s="2" t="s">
        <v>29</v>
      </c>
      <c r="C24" s="2"/>
      <c r="D24" s="2"/>
      <c r="E24" s="2"/>
    </row>
    <row r="25" customFormat="false" ht="15.25" hidden="false" customHeight="false" outlineLevel="0" collapsed="false">
      <c r="B25" s="2" t="n">
        <v>1</v>
      </c>
      <c r="C25" s="2" t="s">
        <v>30</v>
      </c>
      <c r="D25" s="10" t="s">
        <v>31</v>
      </c>
      <c r="E25" s="14" t="s">
        <v>32</v>
      </c>
    </row>
    <row r="26" customFormat="false" ht="15.25" hidden="false" customHeight="false" outlineLevel="0" collapsed="false">
      <c r="B26" s="10" t="s">
        <v>6</v>
      </c>
      <c r="C26" s="6" t="s">
        <v>33</v>
      </c>
      <c r="D26" s="6"/>
      <c r="E26" s="74" t="n">
        <f aca="false">D21</f>
        <v>1602.86</v>
      </c>
    </row>
    <row r="27" customFormat="false" ht="15.25" hidden="false" customHeight="false" outlineLevel="0" collapsed="false">
      <c r="B27" s="10" t="s">
        <v>8</v>
      </c>
      <c r="C27" s="6" t="s">
        <v>34</v>
      </c>
      <c r="D27" s="17" t="n">
        <v>0.3</v>
      </c>
      <c r="E27" s="74" t="n">
        <f aca="false">E26*0.3</f>
        <v>480.858</v>
      </c>
    </row>
    <row r="28" customFormat="false" ht="15.25" hidden="false" customHeight="false" outlineLevel="0" collapsed="false">
      <c r="B28" s="10" t="s">
        <v>11</v>
      </c>
      <c r="C28" s="6" t="s">
        <v>35</v>
      </c>
      <c r="D28" s="17" t="n">
        <v>0.6</v>
      </c>
      <c r="E28" s="74" t="n">
        <f aca="false">(E26+E27)/220*1.6*15</f>
        <v>227.314690909091</v>
      </c>
    </row>
    <row r="29" customFormat="false" ht="15.25" hidden="false" customHeight="false" outlineLevel="0" collapsed="false">
      <c r="B29" s="10" t="s">
        <v>14</v>
      </c>
      <c r="C29" s="6" t="s">
        <v>36</v>
      </c>
      <c r="D29" s="17"/>
      <c r="E29" s="74"/>
    </row>
    <row r="30" customFormat="false" ht="15.25" hidden="false" customHeight="false" outlineLevel="0" collapsed="false">
      <c r="B30" s="10" t="s">
        <v>37</v>
      </c>
      <c r="C30" s="6" t="s">
        <v>38</v>
      </c>
      <c r="D30" s="6" t="n">
        <v>15</v>
      </c>
      <c r="E30" s="74" t="n">
        <f aca="false">(E26+E27)*2/220*7.5</f>
        <v>142.071681818182</v>
      </c>
    </row>
    <row r="31" customFormat="false" ht="15.25" hidden="false" customHeight="false" outlineLevel="0" collapsed="false">
      <c r="B31" s="10" t="s">
        <v>39</v>
      </c>
      <c r="C31" s="6" t="s">
        <v>40</v>
      </c>
      <c r="D31" s="19"/>
      <c r="E31" s="74" t="n">
        <f aca="false">(E28+E29+E30)*5/25</f>
        <v>73.8772745454546</v>
      </c>
    </row>
    <row r="32" customFormat="false" ht="15.25" hidden="false" customHeight="false" outlineLevel="0" collapsed="false">
      <c r="B32" s="20" t="s">
        <v>41</v>
      </c>
      <c r="C32" s="20"/>
      <c r="D32" s="20"/>
      <c r="E32" s="75" t="n">
        <f aca="false">SUM(E26:E31)</f>
        <v>2526.98164727273</v>
      </c>
    </row>
    <row r="33" customFormat="false" ht="15.25" hidden="false" customHeight="false" outlineLevel="0" collapsed="false">
      <c r="B33" s="2" t="s">
        <v>42</v>
      </c>
      <c r="C33" s="2"/>
      <c r="D33" s="2"/>
      <c r="E33" s="2"/>
    </row>
    <row r="34" customFormat="false" ht="15.25" hidden="false" customHeight="false" outlineLevel="0" collapsed="false">
      <c r="B34" s="2" t="n">
        <v>2</v>
      </c>
      <c r="C34" s="2" t="s">
        <v>43</v>
      </c>
      <c r="D34" s="10"/>
      <c r="E34" s="2" t="s">
        <v>32</v>
      </c>
    </row>
    <row r="35" customFormat="false" ht="15.25" hidden="false" customHeight="false" outlineLevel="0" collapsed="false">
      <c r="B35" s="10" t="s">
        <v>6</v>
      </c>
      <c r="C35" s="6" t="s">
        <v>44</v>
      </c>
      <c r="D35" s="23"/>
      <c r="E35" s="24" t="n">
        <f aca="false">'Equipamentos - FZ - Exp do Moura'!H112</f>
        <v>198</v>
      </c>
    </row>
    <row r="36" customFormat="false" ht="15.25" hidden="false" customHeight="false" outlineLevel="0" collapsed="false">
      <c r="B36" s="10" t="s">
        <v>8</v>
      </c>
      <c r="C36" s="6" t="s">
        <v>45</v>
      </c>
      <c r="D36" s="23" t="n">
        <v>15.99</v>
      </c>
      <c r="E36" s="24" t="n">
        <f aca="false">D36*0.9*15</f>
        <v>215.865</v>
      </c>
    </row>
    <row r="37" customFormat="false" ht="15.25" hidden="false" customHeight="false" outlineLevel="0" collapsed="false">
      <c r="B37" s="10" t="s">
        <v>11</v>
      </c>
      <c r="C37" s="6" t="s">
        <v>46</v>
      </c>
      <c r="D37" s="23"/>
      <c r="E37" s="23" t="n">
        <v>112.9</v>
      </c>
    </row>
    <row r="38" customFormat="false" ht="15.25" hidden="false" customHeight="false" outlineLevel="0" collapsed="false">
      <c r="B38" s="10" t="s">
        <v>14</v>
      </c>
      <c r="C38" s="6" t="s">
        <v>47</v>
      </c>
      <c r="D38" s="6"/>
      <c r="E38" s="23" t="n">
        <v>91.08</v>
      </c>
    </row>
    <row r="39" customFormat="false" ht="15.25" hidden="false" customHeight="false" outlineLevel="0" collapsed="false">
      <c r="B39" s="10" t="s">
        <v>37</v>
      </c>
      <c r="C39" s="6" t="s">
        <v>48</v>
      </c>
      <c r="D39" s="23"/>
      <c r="E39" s="23" t="n">
        <f aca="false">'Média Insumos e benefícios'!E26</f>
        <v>19.0666666666667</v>
      </c>
    </row>
    <row r="40" customFormat="false" ht="15.25" hidden="false" customHeight="false" outlineLevel="0" collapsed="false">
      <c r="B40" s="10" t="s">
        <v>39</v>
      </c>
      <c r="C40" s="6" t="s">
        <v>49</v>
      </c>
      <c r="D40" s="23"/>
      <c r="E40" s="23"/>
    </row>
    <row r="41" customFormat="false" ht="15.25" hidden="false" customHeight="false" outlineLevel="0" collapsed="false">
      <c r="B41" s="20" t="s">
        <v>50</v>
      </c>
      <c r="C41" s="20"/>
      <c r="D41" s="20"/>
      <c r="E41" s="21" t="n">
        <f aca="false">SUM(E35:E40)</f>
        <v>636.911666666667</v>
      </c>
    </row>
    <row r="42" customFormat="false" ht="15.65" hidden="false" customHeight="false" outlineLevel="0" collapsed="false">
      <c r="B42" s="2" t="s">
        <v>51</v>
      </c>
      <c r="C42" s="2"/>
      <c r="D42" s="2"/>
      <c r="E42" s="2"/>
    </row>
    <row r="43" customFormat="false" ht="15.25" hidden="false" customHeight="false" outlineLevel="0" collapsed="false">
      <c r="B43" s="2" t="n">
        <v>3</v>
      </c>
      <c r="C43" s="2" t="s">
        <v>52</v>
      </c>
      <c r="D43" s="10" t="s">
        <v>31</v>
      </c>
      <c r="E43" s="2" t="s">
        <v>32</v>
      </c>
    </row>
    <row r="44" customFormat="false" ht="15.9" hidden="false" customHeight="false" outlineLevel="0" collapsed="false">
      <c r="B44" s="10" t="s">
        <v>6</v>
      </c>
      <c r="C44" s="6" t="s">
        <v>53</v>
      </c>
      <c r="D44" s="6"/>
      <c r="E44" s="23" t="n">
        <f aca="false">'Equipamentos - FZ - Exp do Moura'!H110</f>
        <v>351.391666666667</v>
      </c>
    </row>
    <row r="45" customFormat="false" ht="15.25" hidden="false" customHeight="false" outlineLevel="0" collapsed="false">
      <c r="B45" s="10" t="s">
        <v>8</v>
      </c>
      <c r="C45" s="6" t="s">
        <v>54</v>
      </c>
      <c r="D45" s="6"/>
      <c r="E45" s="23" t="n">
        <f aca="false">'Equipamentos - FZ - Exp do Moura'!H108</f>
        <v>20.8206111111111</v>
      </c>
    </row>
    <row r="46" customFormat="false" ht="15.25" hidden="false" customHeight="false" outlineLevel="0" collapsed="false">
      <c r="B46" s="10" t="s">
        <v>11</v>
      </c>
      <c r="C46" s="6" t="s">
        <v>55</v>
      </c>
      <c r="D46" s="6"/>
      <c r="E46" s="23" t="n">
        <f aca="false">'Equipamentos - FZ- Exp- do Rio Manso'!H96</f>
        <v>9.24</v>
      </c>
    </row>
    <row r="47" customFormat="false" ht="15.25" hidden="false" customHeight="false" outlineLevel="0" collapsed="false">
      <c r="B47" s="10" t="s">
        <v>14</v>
      </c>
      <c r="C47" s="6" t="s">
        <v>56</v>
      </c>
      <c r="D47" s="6"/>
      <c r="E47" s="23" t="n">
        <v>4</v>
      </c>
    </row>
    <row r="48" customFormat="false" ht="15.25" hidden="false" customHeight="false" outlineLevel="0" collapsed="false">
      <c r="B48" s="10" t="s">
        <v>37</v>
      </c>
      <c r="C48" s="6" t="s">
        <v>146</v>
      </c>
      <c r="D48" s="6"/>
      <c r="E48" s="23" t="n">
        <f aca="false">'Equipamentos - FZ - Exp do Moura'!H100</f>
        <v>56.3020833333333</v>
      </c>
    </row>
    <row r="49" customFormat="false" ht="15.25" hidden="false" customHeight="false" outlineLevel="0" collapsed="false">
      <c r="B49" s="93" t="s">
        <v>39</v>
      </c>
      <c r="C49" s="6" t="s">
        <v>57</v>
      </c>
      <c r="D49" s="6"/>
      <c r="E49" s="23" t="n">
        <f aca="false">'Média Insumos e benefícios'!K26</f>
        <v>128.666666666667</v>
      </c>
    </row>
    <row r="50" customFormat="false" ht="15.25" hidden="false" customHeight="false" outlineLevel="0" collapsed="false">
      <c r="B50" s="10" t="s">
        <v>69</v>
      </c>
      <c r="C50" s="6" t="s">
        <v>147</v>
      </c>
      <c r="D50" s="6"/>
      <c r="E50" s="23" t="n">
        <f aca="false">'Equipamentos - FZ - Exp do Moura'!H104</f>
        <v>144</v>
      </c>
    </row>
    <row r="51" customFormat="false" ht="15.25" hidden="false" customHeight="false" outlineLevel="0" collapsed="false">
      <c r="B51" s="20" t="s">
        <v>58</v>
      </c>
      <c r="C51" s="20"/>
      <c r="D51" s="20"/>
      <c r="E51" s="33" t="n">
        <f aca="false">SUM(E44:E50)</f>
        <v>714.421027777778</v>
      </c>
    </row>
    <row r="52" customFormat="false" ht="15.25" hidden="false" customHeight="false" outlineLevel="0" collapsed="false">
      <c r="B52" s="2" t="s">
        <v>59</v>
      </c>
      <c r="C52" s="2"/>
      <c r="D52" s="2"/>
      <c r="E52" s="2"/>
    </row>
    <row r="53" customFormat="false" ht="15.25" hidden="false" customHeight="false" outlineLevel="0" collapsed="false">
      <c r="B53" s="34" t="s">
        <v>60</v>
      </c>
      <c r="C53" s="34"/>
      <c r="D53" s="34"/>
      <c r="E53" s="34"/>
    </row>
    <row r="54" customFormat="false" ht="15.25" hidden="false" customHeight="false" outlineLevel="0" collapsed="false">
      <c r="B54" s="2" t="s">
        <v>61</v>
      </c>
      <c r="C54" s="2" t="s">
        <v>62</v>
      </c>
      <c r="D54" s="10" t="s">
        <v>31</v>
      </c>
      <c r="E54" s="2" t="s">
        <v>32</v>
      </c>
    </row>
    <row r="55" customFormat="false" ht="15.25" hidden="false" customHeight="false" outlineLevel="0" collapsed="false">
      <c r="B55" s="10" t="s">
        <v>6</v>
      </c>
      <c r="C55" s="6" t="s">
        <v>63</v>
      </c>
      <c r="D55" s="35" t="n">
        <v>0.2</v>
      </c>
      <c r="E55" s="24" t="n">
        <f aca="false">$E$32*D55</f>
        <v>505.396329454545</v>
      </c>
    </row>
    <row r="56" customFormat="false" ht="15.25" hidden="false" customHeight="false" outlineLevel="0" collapsed="false">
      <c r="B56" s="10" t="s">
        <v>8</v>
      </c>
      <c r="C56" s="6" t="s">
        <v>64</v>
      </c>
      <c r="D56" s="35" t="n">
        <v>0.015</v>
      </c>
      <c r="E56" s="24" t="n">
        <f aca="false">$E$32*D56</f>
        <v>37.9047247090909</v>
      </c>
    </row>
    <row r="57" customFormat="false" ht="15.25" hidden="false" customHeight="false" outlineLevel="0" collapsed="false">
      <c r="B57" s="10" t="s">
        <v>11</v>
      </c>
      <c r="C57" s="6" t="s">
        <v>65</v>
      </c>
      <c r="D57" s="35" t="n">
        <v>0.01</v>
      </c>
      <c r="E57" s="24" t="n">
        <f aca="false">$E$32*D57</f>
        <v>25.2698164727273</v>
      </c>
    </row>
    <row r="58" customFormat="false" ht="15.25" hidden="false" customHeight="false" outlineLevel="0" collapsed="false">
      <c r="B58" s="10" t="s">
        <v>14</v>
      </c>
      <c r="C58" s="6" t="s">
        <v>66</v>
      </c>
      <c r="D58" s="35" t="n">
        <v>0.002</v>
      </c>
      <c r="E58" s="24" t="n">
        <f aca="false">$E$32*D58</f>
        <v>5.05396329454545</v>
      </c>
    </row>
    <row r="59" customFormat="false" ht="15.25" hidden="false" customHeight="false" outlineLevel="0" collapsed="false">
      <c r="B59" s="10" t="s">
        <v>37</v>
      </c>
      <c r="C59" s="6" t="s">
        <v>67</v>
      </c>
      <c r="D59" s="35" t="n">
        <v>0.025</v>
      </c>
      <c r="E59" s="24" t="n">
        <f aca="false">$E$32*D59</f>
        <v>63.1745411818182</v>
      </c>
    </row>
    <row r="60" customFormat="false" ht="15.25" hidden="false" customHeight="false" outlineLevel="0" collapsed="false">
      <c r="B60" s="10" t="s">
        <v>39</v>
      </c>
      <c r="C60" s="6" t="s">
        <v>68</v>
      </c>
      <c r="D60" s="35" t="n">
        <v>0.08</v>
      </c>
      <c r="E60" s="24" t="n">
        <f aca="false">$E$32*D60</f>
        <v>202.158531781818</v>
      </c>
    </row>
    <row r="61" customFormat="false" ht="15.25" hidden="false" customHeight="false" outlineLevel="0" collapsed="false">
      <c r="B61" s="10" t="s">
        <v>69</v>
      </c>
      <c r="C61" s="6" t="s">
        <v>70</v>
      </c>
      <c r="D61" s="35" t="n">
        <v>0.03</v>
      </c>
      <c r="E61" s="24" t="n">
        <f aca="false">$E$32*D61</f>
        <v>75.8094494181818</v>
      </c>
    </row>
    <row r="62" customFormat="false" ht="15.25" hidden="false" customHeight="false" outlineLevel="0" collapsed="false">
      <c r="B62" s="10" t="s">
        <v>71</v>
      </c>
      <c r="C62" s="6" t="s">
        <v>72</v>
      </c>
      <c r="D62" s="35" t="n">
        <v>0.006</v>
      </c>
      <c r="E62" s="24" t="n">
        <f aca="false">$E$32*D62</f>
        <v>15.1618898836364</v>
      </c>
    </row>
    <row r="63" customFormat="false" ht="15.25" hidden="false" customHeight="false" outlineLevel="0" collapsed="false">
      <c r="B63" s="20" t="s">
        <v>73</v>
      </c>
      <c r="C63" s="20"/>
      <c r="D63" s="38" t="n">
        <v>0.368</v>
      </c>
      <c r="E63" s="21" t="n">
        <f aca="false">$E$32*D63</f>
        <v>929.929246196364</v>
      </c>
    </row>
    <row r="64" customFormat="false" ht="15.25" hidden="false" customHeight="false" outlineLevel="0" collapsed="false">
      <c r="B64" s="34" t="s">
        <v>74</v>
      </c>
      <c r="C64" s="34"/>
      <c r="D64" s="34"/>
      <c r="E64" s="34"/>
    </row>
    <row r="65" customFormat="false" ht="15.65" hidden="false" customHeight="false" outlineLevel="0" collapsed="false">
      <c r="B65" s="2" t="s">
        <v>75</v>
      </c>
      <c r="C65" s="34" t="s">
        <v>76</v>
      </c>
      <c r="D65" s="10" t="s">
        <v>31</v>
      </c>
      <c r="E65" s="2" t="s">
        <v>32</v>
      </c>
    </row>
    <row r="66" customFormat="false" ht="15.25" hidden="false" customHeight="false" outlineLevel="0" collapsed="false">
      <c r="B66" s="10" t="s">
        <v>6</v>
      </c>
      <c r="C66" s="6" t="s">
        <v>77</v>
      </c>
      <c r="D66" s="41" t="n">
        <v>0.0833</v>
      </c>
      <c r="E66" s="24" t="n">
        <f aca="false">$E$32*D66</f>
        <v>210.497571217818</v>
      </c>
    </row>
    <row r="67" customFormat="false" ht="19.1" hidden="false" customHeight="true" outlineLevel="0" collapsed="false">
      <c r="B67" s="10" t="s">
        <v>8</v>
      </c>
      <c r="C67" s="7" t="s">
        <v>78</v>
      </c>
      <c r="D67" s="41" t="n">
        <f aca="false">D66*D63</f>
        <v>0.0306544</v>
      </c>
      <c r="E67" s="24" t="n">
        <f aca="false">$E$32*D67</f>
        <v>77.4631062081571</v>
      </c>
    </row>
    <row r="68" customFormat="false" ht="15.25" hidden="false" customHeight="false" outlineLevel="0" collapsed="false">
      <c r="B68" s="20" t="s">
        <v>73</v>
      </c>
      <c r="C68" s="20"/>
      <c r="D68" s="41" t="n">
        <v>0.1139544</v>
      </c>
      <c r="E68" s="21" t="n">
        <f aca="false">$E$32*D68</f>
        <v>287.960677425975</v>
      </c>
    </row>
    <row r="69" customFormat="false" ht="15.25" hidden="false" customHeight="false" outlineLevel="0" collapsed="false">
      <c r="B69" s="34" t="s">
        <v>79</v>
      </c>
      <c r="C69" s="34"/>
      <c r="D69" s="34"/>
      <c r="E69" s="34"/>
    </row>
    <row r="70" customFormat="false" ht="15.25" hidden="false" customHeight="false" outlineLevel="0" collapsed="false">
      <c r="B70" s="2" t="s">
        <v>80</v>
      </c>
      <c r="C70" s="2" t="s">
        <v>81</v>
      </c>
      <c r="D70" s="10" t="s">
        <v>31</v>
      </c>
      <c r="E70" s="2" t="s">
        <v>32</v>
      </c>
    </row>
    <row r="71" customFormat="false" ht="15.25" hidden="false" customHeight="false" outlineLevel="0" collapsed="false">
      <c r="B71" s="10" t="s">
        <v>6</v>
      </c>
      <c r="C71" s="6" t="s">
        <v>81</v>
      </c>
      <c r="D71" s="44" t="n">
        <v>0.00074</v>
      </c>
      <c r="E71" s="24" t="n">
        <f aca="false">$E$32*D71</f>
        <v>1.86996641898182</v>
      </c>
    </row>
    <row r="72" customFormat="false" ht="18.15" hidden="false" customHeight="true" outlineLevel="0" collapsed="false">
      <c r="B72" s="10" t="s">
        <v>8</v>
      </c>
      <c r="C72" s="7" t="s">
        <v>82</v>
      </c>
      <c r="D72" s="44" t="n">
        <f aca="false">D71*D63</f>
        <v>0.00027232</v>
      </c>
      <c r="E72" s="24" t="n">
        <f aca="false">$E$32*D72</f>
        <v>0.688147642185309</v>
      </c>
    </row>
    <row r="73" customFormat="false" ht="15.25" hidden="false" customHeight="false" outlineLevel="0" collapsed="false">
      <c r="B73" s="20" t="s">
        <v>73</v>
      </c>
      <c r="C73" s="20"/>
      <c r="D73" s="46" t="n">
        <v>0.00104</v>
      </c>
      <c r="E73" s="21" t="n">
        <f aca="false">$E$32*D73</f>
        <v>2.62806091316364</v>
      </c>
    </row>
    <row r="74" customFormat="false" ht="15.25" hidden="false" customHeight="false" outlineLevel="0" collapsed="false">
      <c r="B74" s="34" t="s">
        <v>83</v>
      </c>
      <c r="C74" s="34"/>
      <c r="D74" s="34"/>
      <c r="E74" s="34"/>
    </row>
    <row r="75" customFormat="false" ht="15.25" hidden="false" customHeight="false" outlineLevel="0" collapsed="false">
      <c r="B75" s="2" t="s">
        <v>84</v>
      </c>
      <c r="C75" s="2" t="s">
        <v>85</v>
      </c>
      <c r="D75" s="10" t="s">
        <v>31</v>
      </c>
      <c r="E75" s="2" t="s">
        <v>32</v>
      </c>
    </row>
    <row r="76" customFormat="false" ht="15.25" hidden="false" customHeight="false" outlineLevel="0" collapsed="false">
      <c r="B76" s="10" t="s">
        <v>6</v>
      </c>
      <c r="C76" s="6" t="s">
        <v>86</v>
      </c>
      <c r="D76" s="41" t="n">
        <v>0.00416666666666667</v>
      </c>
      <c r="E76" s="24" t="n">
        <f aca="false">$E$32*D76</f>
        <v>10.5290901969697</v>
      </c>
    </row>
    <row r="77" customFormat="false" ht="19.1" hidden="false" customHeight="true" outlineLevel="0" collapsed="false">
      <c r="B77" s="10" t="s">
        <v>8</v>
      </c>
      <c r="C77" s="7" t="s">
        <v>87</v>
      </c>
      <c r="D77" s="41" t="n">
        <v>0.000333333333333333</v>
      </c>
      <c r="E77" s="24" t="n">
        <f aca="false">$E$32*D77</f>
        <v>0.842327215757575</v>
      </c>
    </row>
    <row r="78" customFormat="false" ht="15.25" hidden="false" customHeight="false" outlineLevel="0" collapsed="false">
      <c r="B78" s="10" t="s">
        <v>11</v>
      </c>
      <c r="C78" s="6" t="s">
        <v>88</v>
      </c>
      <c r="D78" s="41" t="n">
        <v>0.043</v>
      </c>
      <c r="E78" s="24" t="n">
        <f aca="false">$E$32*D78</f>
        <v>108.660210832727</v>
      </c>
    </row>
    <row r="79" customFormat="false" ht="15.25" hidden="false" customHeight="false" outlineLevel="0" collapsed="false">
      <c r="B79" s="10" t="s">
        <v>14</v>
      </c>
      <c r="C79" s="6" t="s">
        <v>89</v>
      </c>
      <c r="D79" s="47" t="n">
        <v>0.0194444444444444</v>
      </c>
      <c r="E79" s="24" t="n">
        <f aca="false">$E$32*D79</f>
        <v>49.1357542525251</v>
      </c>
    </row>
    <row r="80" customFormat="false" ht="19.1" hidden="false" customHeight="true" outlineLevel="0" collapsed="false">
      <c r="B80" s="10" t="s">
        <v>37</v>
      </c>
      <c r="C80" s="7" t="s">
        <v>90</v>
      </c>
      <c r="D80" s="41" t="n">
        <v>0.00715555555555556</v>
      </c>
      <c r="E80" s="24" t="n">
        <f aca="false">$E$32*D80</f>
        <v>18.0819575649293</v>
      </c>
    </row>
    <row r="81" customFormat="false" ht="15.25" hidden="false" customHeight="false" outlineLevel="0" collapsed="false">
      <c r="B81" s="10" t="s">
        <v>39</v>
      </c>
      <c r="C81" s="6" t="s">
        <v>91</v>
      </c>
      <c r="D81" s="41" t="n">
        <v>0.000776</v>
      </c>
      <c r="E81" s="24" t="n">
        <f aca="false">$E$32*D81</f>
        <v>1.96093775828364</v>
      </c>
    </row>
    <row r="82" customFormat="false" ht="15.25" hidden="false" customHeight="false" outlineLevel="0" collapsed="false">
      <c r="B82" s="20" t="s">
        <v>73</v>
      </c>
      <c r="C82" s="20"/>
      <c r="D82" s="41" t="n">
        <v>0.074876</v>
      </c>
      <c r="E82" s="21" t="n">
        <f aca="false">$E$32*D82</f>
        <v>189.210277821193</v>
      </c>
    </row>
    <row r="83" customFormat="false" ht="15.25" hidden="false" customHeight="false" outlineLevel="0" collapsed="false">
      <c r="B83" s="34" t="s">
        <v>92</v>
      </c>
      <c r="C83" s="34"/>
      <c r="D83" s="34"/>
      <c r="E83" s="34"/>
    </row>
    <row r="84" customFormat="false" ht="23.9" hidden="false" customHeight="true" outlineLevel="0" collapsed="false">
      <c r="B84" s="2" t="s">
        <v>93</v>
      </c>
      <c r="C84" s="14" t="s">
        <v>94</v>
      </c>
      <c r="D84" s="48" t="s">
        <v>31</v>
      </c>
      <c r="E84" s="2" t="s">
        <v>32</v>
      </c>
    </row>
    <row r="85" customFormat="false" ht="15.25" hidden="false" customHeight="false" outlineLevel="0" collapsed="false">
      <c r="B85" s="10" t="s">
        <v>6</v>
      </c>
      <c r="C85" s="6" t="s">
        <v>95</v>
      </c>
      <c r="D85" s="49" t="n">
        <v>0.1111</v>
      </c>
      <c r="E85" s="24" t="n">
        <f aca="false">$E$32*D85</f>
        <v>280.747661012</v>
      </c>
    </row>
    <row r="86" customFormat="false" ht="15.25" hidden="false" customHeight="false" outlineLevel="0" collapsed="false">
      <c r="B86" s="10" t="s">
        <v>8</v>
      </c>
      <c r="C86" s="6" t="s">
        <v>96</v>
      </c>
      <c r="D86" s="49" t="n">
        <v>0.0166</v>
      </c>
      <c r="E86" s="24" t="n">
        <f aca="false">$E$32*D86</f>
        <v>41.9478953447273</v>
      </c>
    </row>
    <row r="87" customFormat="false" ht="15.25" hidden="false" customHeight="false" outlineLevel="0" collapsed="false">
      <c r="B87" s="10" t="s">
        <v>11</v>
      </c>
      <c r="C87" s="6" t="s">
        <v>97</v>
      </c>
      <c r="D87" s="49" t="n">
        <v>0.0002</v>
      </c>
      <c r="E87" s="24" t="n">
        <f aca="false">$E$32*D87</f>
        <v>0.505396329454545</v>
      </c>
    </row>
    <row r="88" customFormat="false" ht="15.25" hidden="false" customHeight="false" outlineLevel="0" collapsed="false">
      <c r="B88" s="10" t="s">
        <v>14</v>
      </c>
      <c r="C88" s="6" t="s">
        <v>98</v>
      </c>
      <c r="D88" s="49" t="n">
        <v>0.0028</v>
      </c>
      <c r="E88" s="24" t="n">
        <f aca="false">$E$32*D88</f>
        <v>7.07554861236364</v>
      </c>
    </row>
    <row r="89" customFormat="false" ht="15.25" hidden="false" customHeight="false" outlineLevel="0" collapsed="false">
      <c r="B89" s="10" t="s">
        <v>37</v>
      </c>
      <c r="C89" s="6" t="s">
        <v>99</v>
      </c>
      <c r="D89" s="49" t="n">
        <v>0.0003</v>
      </c>
      <c r="E89" s="24" t="n">
        <f aca="false">$E$32*D89</f>
        <v>0.758094494181818</v>
      </c>
    </row>
    <row r="90" customFormat="false" ht="15.25" hidden="false" customHeight="false" outlineLevel="0" collapsed="false">
      <c r="B90" s="10" t="s">
        <v>39</v>
      </c>
      <c r="C90" s="6" t="s">
        <v>100</v>
      </c>
      <c r="D90" s="49"/>
      <c r="E90" s="24" t="n">
        <v>0</v>
      </c>
    </row>
    <row r="91" customFormat="false" ht="15.25" hidden="false" customHeight="false" outlineLevel="0" collapsed="false">
      <c r="B91" s="34" t="s">
        <v>101</v>
      </c>
      <c r="C91" s="34"/>
      <c r="D91" s="53" t="n">
        <v>0.131</v>
      </c>
      <c r="E91" s="21" t="n">
        <f aca="false">$E$32*D91</f>
        <v>331.034595792727</v>
      </c>
    </row>
    <row r="92" customFormat="false" ht="23.9" hidden="false" customHeight="true" outlineLevel="0" collapsed="false">
      <c r="B92" s="10" t="s">
        <v>69</v>
      </c>
      <c r="C92" s="54" t="s">
        <v>102</v>
      </c>
      <c r="D92" s="49" t="n">
        <v>0.048208</v>
      </c>
      <c r="E92" s="24" t="n">
        <f aca="false">$E$32*D92</f>
        <v>121.820731251724</v>
      </c>
    </row>
    <row r="93" customFormat="false" ht="15.25" hidden="false" customHeight="false" outlineLevel="0" collapsed="false">
      <c r="B93" s="20" t="s">
        <v>73</v>
      </c>
      <c r="C93" s="20"/>
      <c r="D93" s="53" t="n">
        <v>0.179208</v>
      </c>
      <c r="E93" s="21" t="n">
        <f aca="false">$E$32*D93</f>
        <v>452.855327044451</v>
      </c>
    </row>
    <row r="94" customFormat="false" ht="30.6" hidden="false" customHeight="true" outlineLevel="0" collapsed="false">
      <c r="B94" s="14" t="s">
        <v>103</v>
      </c>
      <c r="C94" s="14"/>
      <c r="D94" s="14"/>
      <c r="E94" s="14"/>
    </row>
    <row r="95" customFormat="false" ht="15.25" hidden="false" customHeight="false" outlineLevel="0" collapsed="false">
      <c r="B95" s="2" t="n">
        <v>4</v>
      </c>
      <c r="C95" s="2" t="s">
        <v>104</v>
      </c>
      <c r="D95" s="10" t="s">
        <v>31</v>
      </c>
      <c r="E95" s="2" t="s">
        <v>32</v>
      </c>
    </row>
    <row r="96" customFormat="false" ht="15.65" hidden="false" customHeight="false" outlineLevel="0" collapsed="false">
      <c r="B96" s="10" t="s">
        <v>105</v>
      </c>
      <c r="C96" s="6" t="s">
        <v>106</v>
      </c>
      <c r="D96" s="56" t="n">
        <v>0.368</v>
      </c>
      <c r="E96" s="24" t="n">
        <f aca="false">$E$32*D96</f>
        <v>929.929246196364</v>
      </c>
    </row>
    <row r="97" customFormat="false" ht="15.65" hidden="false" customHeight="false" outlineLevel="0" collapsed="false">
      <c r="B97" s="10" t="s">
        <v>107</v>
      </c>
      <c r="C97" s="6" t="s">
        <v>108</v>
      </c>
      <c r="D97" s="56" t="n">
        <v>0.1139544</v>
      </c>
      <c r="E97" s="24" t="n">
        <f aca="false">$E$32*D97</f>
        <v>287.960677425975</v>
      </c>
    </row>
    <row r="98" customFormat="false" ht="15.65" hidden="false" customHeight="false" outlineLevel="0" collapsed="false">
      <c r="B98" s="10" t="s">
        <v>109</v>
      </c>
      <c r="C98" s="6" t="s">
        <v>110</v>
      </c>
      <c r="D98" s="56" t="n">
        <v>0.00104</v>
      </c>
      <c r="E98" s="24" t="n">
        <f aca="false">$E$32*D98</f>
        <v>2.62806091316364</v>
      </c>
    </row>
    <row r="99" customFormat="false" ht="15.65" hidden="false" customHeight="false" outlineLevel="0" collapsed="false">
      <c r="B99" s="10" t="s">
        <v>111</v>
      </c>
      <c r="C99" s="6" t="s">
        <v>112</v>
      </c>
      <c r="D99" s="56" t="n">
        <v>0.074876</v>
      </c>
      <c r="E99" s="24" t="n">
        <f aca="false">$E$32*D99</f>
        <v>189.210277821193</v>
      </c>
    </row>
    <row r="100" customFormat="false" ht="15.65" hidden="false" customHeight="false" outlineLevel="0" collapsed="false">
      <c r="B100" s="10" t="s">
        <v>113</v>
      </c>
      <c r="C100" s="6" t="s">
        <v>114</v>
      </c>
      <c r="D100" s="56" t="n">
        <v>0.179208</v>
      </c>
      <c r="E100" s="24" t="n">
        <f aca="false">$E$32*D100</f>
        <v>452.855327044451</v>
      </c>
    </row>
    <row r="101" customFormat="false" ht="15.65" hidden="false" customHeight="false" outlineLevel="0" collapsed="false">
      <c r="B101" s="10" t="s">
        <v>115</v>
      </c>
      <c r="C101" s="6" t="s">
        <v>100</v>
      </c>
      <c r="D101" s="56"/>
      <c r="E101" s="24"/>
    </row>
    <row r="102" customFormat="false" ht="15.25" hidden="false" customHeight="false" outlineLevel="0" collapsed="false">
      <c r="B102" s="20" t="s">
        <v>73</v>
      </c>
      <c r="C102" s="20"/>
      <c r="D102" s="57" t="n">
        <v>0.7370784</v>
      </c>
      <c r="E102" s="21" t="n">
        <f aca="false">$E$32*D102</f>
        <v>1862.58358940115</v>
      </c>
    </row>
    <row r="103" customFormat="false" ht="15.65" hidden="false" customHeight="false" outlineLevel="0" collapsed="false">
      <c r="B103" s="2" t="s">
        <v>116</v>
      </c>
      <c r="C103" s="2"/>
      <c r="D103" s="2"/>
      <c r="E103" s="2"/>
    </row>
    <row r="104" customFormat="false" ht="15.25" hidden="false" customHeight="false" outlineLevel="0" collapsed="false">
      <c r="B104" s="2" t="n">
        <v>5</v>
      </c>
      <c r="C104" s="2" t="s">
        <v>117</v>
      </c>
      <c r="D104" s="10" t="s">
        <v>31</v>
      </c>
      <c r="E104" s="2" t="s">
        <v>32</v>
      </c>
    </row>
    <row r="105" customFormat="false" ht="15.25" hidden="false" customHeight="false" outlineLevel="0" collapsed="false">
      <c r="B105" s="10" t="s">
        <v>6</v>
      </c>
      <c r="C105" s="59" t="s">
        <v>118</v>
      </c>
      <c r="D105" s="38" t="n">
        <v>0.06</v>
      </c>
      <c r="E105" s="33" t="n">
        <f aca="false">E124*D105</f>
        <v>344.453875867099</v>
      </c>
    </row>
    <row r="106" customFormat="false" ht="15.25" hidden="false" customHeight="false" outlineLevel="0" collapsed="false">
      <c r="B106" s="10" t="s">
        <v>8</v>
      </c>
      <c r="C106" s="59" t="s">
        <v>119</v>
      </c>
      <c r="D106" s="38" t="n">
        <v>0.0679</v>
      </c>
      <c r="E106" s="33" t="n">
        <f aca="false">(E124+E105)*D106</f>
        <v>413.19538769431</v>
      </c>
    </row>
    <row r="107" customFormat="false" ht="15.25" hidden="false" customHeight="false" outlineLevel="0" collapsed="false">
      <c r="B107" s="10" t="s">
        <v>11</v>
      </c>
      <c r="C107" s="59" t="s">
        <v>120</v>
      </c>
      <c r="D107" s="6"/>
      <c r="E107" s="6"/>
    </row>
    <row r="108" customFormat="false" ht="15.65" hidden="false" customHeight="false" outlineLevel="0" collapsed="false">
      <c r="B108" s="60" t="s">
        <v>121</v>
      </c>
      <c r="C108" s="6" t="s">
        <v>122</v>
      </c>
      <c r="D108" s="61" t="n">
        <v>3</v>
      </c>
      <c r="E108" s="62" t="n">
        <f aca="false">E126*D108/100</f>
        <v>206.631071372965</v>
      </c>
    </row>
    <row r="109" customFormat="false" ht="15.65" hidden="false" customHeight="false" outlineLevel="0" collapsed="false">
      <c r="B109" s="60"/>
      <c r="C109" s="6" t="s">
        <v>123</v>
      </c>
      <c r="D109" s="61" t="n">
        <v>0.65</v>
      </c>
      <c r="E109" s="62" t="n">
        <f aca="false">E126*D109/100</f>
        <v>44.7700654641423</v>
      </c>
    </row>
    <row r="110" customFormat="false" ht="15.25" hidden="false" customHeight="false" outlineLevel="0" collapsed="false">
      <c r="B110" s="60" t="s">
        <v>124</v>
      </c>
      <c r="C110" s="6" t="s">
        <v>125</v>
      </c>
      <c r="D110" s="61"/>
      <c r="E110" s="62"/>
    </row>
    <row r="111" customFormat="false" ht="15.65" hidden="false" customHeight="false" outlineLevel="0" collapsed="false">
      <c r="B111" s="60" t="s">
        <v>126</v>
      </c>
      <c r="C111" s="6" t="s">
        <v>127</v>
      </c>
      <c r="D111" s="61" t="n">
        <v>2</v>
      </c>
      <c r="E111" s="62" t="n">
        <f aca="false">E126*D111/100</f>
        <v>137.754047581976</v>
      </c>
    </row>
    <row r="112" customFormat="false" ht="15.25" hidden="false" customHeight="false" outlineLevel="0" collapsed="false">
      <c r="B112" s="60" t="s">
        <v>128</v>
      </c>
      <c r="C112" s="6" t="s">
        <v>129</v>
      </c>
      <c r="D112" s="38"/>
      <c r="E112" s="62"/>
    </row>
    <row r="114" customFormat="false" ht="15.25" hidden="false" customHeight="false" outlineLevel="0" collapsed="false">
      <c r="B114" s="20" t="s">
        <v>130</v>
      </c>
      <c r="C114" s="20"/>
      <c r="D114" s="2" t="n">
        <v>11.25</v>
      </c>
      <c r="E114" s="33" t="n">
        <f aca="false">SUM(E105:E111)</f>
        <v>1146.80444798049</v>
      </c>
    </row>
    <row r="115" customFormat="false" ht="17.25" hidden="false" customHeight="true" outlineLevel="0" collapsed="false">
      <c r="B115" s="65" t="s">
        <v>131</v>
      </c>
      <c r="C115" s="65"/>
      <c r="D115" s="66" t="n">
        <f aca="false">(1-(D108+D109+D111)/100)</f>
        <v>0.9435</v>
      </c>
      <c r="E115" s="67"/>
    </row>
    <row r="116" customFormat="false" ht="25.8" hidden="false" customHeight="true" outlineLevel="0" collapsed="false">
      <c r="B116" s="65"/>
      <c r="C116" s="65"/>
      <c r="D116" s="68" t="n">
        <f aca="false">(E124+E105+E106)/D115</f>
        <v>6887.70237909882</v>
      </c>
      <c r="E116" s="69"/>
    </row>
    <row r="117" customFormat="false" ht="17.25" hidden="false" customHeight="true" outlineLevel="0" collapsed="false">
      <c r="B117" s="4" t="s">
        <v>132</v>
      </c>
      <c r="C117" s="4"/>
      <c r="D117" s="33"/>
      <c r="E117" s="71"/>
    </row>
    <row r="118" customFormat="false" ht="17.25" hidden="false" customHeight="true" outlineLevel="0" collapsed="false">
      <c r="B118" s="2" t="s">
        <v>133</v>
      </c>
      <c r="C118" s="2"/>
      <c r="D118" s="2"/>
      <c r="E118" s="2"/>
    </row>
    <row r="119" customFormat="false" ht="57.4" hidden="false" customHeight="true" outlineLevel="0" collapsed="false">
      <c r="B119" s="2"/>
      <c r="C119" s="14" t="s">
        <v>134</v>
      </c>
      <c r="D119" s="14"/>
      <c r="E119" s="2" t="s">
        <v>32</v>
      </c>
    </row>
    <row r="120" customFormat="false" ht="15.65" hidden="false" customHeight="false" outlineLevel="0" collapsed="false">
      <c r="B120" s="10" t="s">
        <v>6</v>
      </c>
      <c r="C120" s="34" t="s">
        <v>135</v>
      </c>
      <c r="D120" s="34"/>
      <c r="E120" s="71" t="n">
        <f aca="false">E32</f>
        <v>2526.98164727273</v>
      </c>
    </row>
    <row r="121" customFormat="false" ht="17.25" hidden="false" customHeight="true" outlineLevel="0" collapsed="false">
      <c r="B121" s="10" t="s">
        <v>8</v>
      </c>
      <c r="C121" s="34" t="s">
        <v>136</v>
      </c>
      <c r="D121" s="34"/>
      <c r="E121" s="23" t="n">
        <f aca="false">E41</f>
        <v>636.911666666667</v>
      </c>
    </row>
    <row r="122" customFormat="false" ht="15.65" hidden="false" customHeight="false" outlineLevel="0" collapsed="false">
      <c r="B122" s="10" t="s">
        <v>11</v>
      </c>
      <c r="C122" s="34" t="s">
        <v>137</v>
      </c>
      <c r="D122" s="34"/>
      <c r="E122" s="71" t="n">
        <f aca="false">E51</f>
        <v>714.421027777778</v>
      </c>
    </row>
    <row r="123" customFormat="false" ht="15.65" hidden="false" customHeight="false" outlineLevel="0" collapsed="false">
      <c r="B123" s="10" t="s">
        <v>14</v>
      </c>
      <c r="C123" s="34" t="s">
        <v>138</v>
      </c>
      <c r="D123" s="34"/>
      <c r="E123" s="23" t="n">
        <f aca="false">E102</f>
        <v>1862.58358940115</v>
      </c>
    </row>
    <row r="124" customFormat="false" ht="15.25" hidden="false" customHeight="false" outlineLevel="0" collapsed="false">
      <c r="B124" s="20" t="s">
        <v>139</v>
      </c>
      <c r="C124" s="20"/>
      <c r="D124" s="20"/>
      <c r="E124" s="72" t="n">
        <f aca="false">SUM(E120:E123)</f>
        <v>5740.89793111833</v>
      </c>
    </row>
    <row r="125" customFormat="false" ht="15.25" hidden="false" customHeight="false" outlineLevel="0" collapsed="false">
      <c r="B125" s="10" t="s">
        <v>37</v>
      </c>
      <c r="C125" s="2" t="s">
        <v>140</v>
      </c>
      <c r="D125" s="2"/>
      <c r="E125" s="23" t="n">
        <f aca="false">E114</f>
        <v>1146.80444798049</v>
      </c>
    </row>
    <row r="126" customFormat="false" ht="15.65" hidden="false" customHeight="false" outlineLevel="0" collapsed="false">
      <c r="B126" s="2" t="s">
        <v>141</v>
      </c>
      <c r="C126" s="2"/>
      <c r="D126" s="2"/>
      <c r="E126" s="73" t="n">
        <f aca="false">(E124+E105+E106)/(1-(D108+D109+D111)/100)</f>
        <v>6887.70237909882</v>
      </c>
    </row>
    <row r="127" customFormat="false" ht="15.65" hidden="false" customHeight="false" outlineLevel="0" collapsed="false">
      <c r="B127" s="2" t="s">
        <v>155</v>
      </c>
      <c r="C127" s="2"/>
      <c r="D127" s="2"/>
      <c r="E127" s="73" t="n">
        <f aca="false">E126*2</f>
        <v>13775.4047581976</v>
      </c>
    </row>
  </sheetData>
  <mergeCells count="58">
    <mergeCell ref="B3:E5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B24:E24"/>
    <mergeCell ref="B32:D32"/>
    <mergeCell ref="B33:E33"/>
    <mergeCell ref="B41:D41"/>
    <mergeCell ref="B42:E42"/>
    <mergeCell ref="B51:D51"/>
    <mergeCell ref="B52:E52"/>
    <mergeCell ref="B53:E53"/>
    <mergeCell ref="B63:C63"/>
    <mergeCell ref="B64:E64"/>
    <mergeCell ref="B68:C68"/>
    <mergeCell ref="B69:E69"/>
    <mergeCell ref="B73:C73"/>
    <mergeCell ref="B74:E74"/>
    <mergeCell ref="B82:C82"/>
    <mergeCell ref="B83:E83"/>
    <mergeCell ref="B91:C91"/>
    <mergeCell ref="B93:C93"/>
    <mergeCell ref="B94:E94"/>
    <mergeCell ref="B102:C102"/>
    <mergeCell ref="B103:E103"/>
    <mergeCell ref="B108:B109"/>
    <mergeCell ref="B114:C114"/>
    <mergeCell ref="B115:C116"/>
    <mergeCell ref="B117:C117"/>
    <mergeCell ref="B118:E118"/>
    <mergeCell ref="C119:D119"/>
    <mergeCell ref="C120:D120"/>
    <mergeCell ref="C121:D121"/>
    <mergeCell ref="C122:D122"/>
    <mergeCell ref="C123:D123"/>
    <mergeCell ref="B124:D124"/>
    <mergeCell ref="C125:D125"/>
    <mergeCell ref="B126:D126"/>
    <mergeCell ref="B127:D12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E125"/>
  <sheetViews>
    <sheetView windowProtection="false" showFormulas="false" showGridLines="true" showRowColHeaders="true" showZeros="true" rightToLeft="false" tabSelected="false" showOutlineSymbols="true" defaultGridColor="true" view="normal" topLeftCell="A29" colorId="64" zoomScale="75" zoomScaleNormal="75" zoomScalePageLayoutView="100" workbookViewId="0">
      <selection pane="topLeft" activeCell="F51" activeCellId="0" sqref="F51"/>
    </sheetView>
  </sheetViews>
  <sheetFormatPr defaultRowHeight="14.05"/>
  <cols>
    <col collapsed="false" hidden="false" max="2" min="1" style="0" width="10.5023255813953"/>
    <col collapsed="false" hidden="false" max="3" min="3" style="0" width="50.2"/>
    <col collapsed="false" hidden="false" max="4" min="4" style="0" width="17.5813953488372"/>
    <col collapsed="false" hidden="false" max="5" min="5" style="0" width="14.7023255813953"/>
    <col collapsed="false" hidden="false" max="1025" min="6" style="0" width="10.5023255813953"/>
  </cols>
  <sheetData>
    <row r="3" customFormat="false" ht="14.05" hidden="false" customHeight="false" outlineLevel="0" collapsed="false">
      <c r="B3" s="2" t="s">
        <v>0</v>
      </c>
      <c r="C3" s="2"/>
      <c r="D3" s="2"/>
      <c r="E3" s="2"/>
    </row>
    <row r="4" customFormat="false" ht="14.05" hidden="false" customHeight="false" outlineLevel="0" collapsed="false">
      <c r="B4" s="2"/>
      <c r="C4" s="2"/>
      <c r="D4" s="2"/>
      <c r="E4" s="2"/>
    </row>
    <row r="5" customFormat="false" ht="14.05" hidden="false" customHeight="false" outlineLevel="0" collapsed="false">
      <c r="B5" s="2"/>
      <c r="C5" s="2"/>
      <c r="D5" s="2"/>
      <c r="E5" s="2"/>
    </row>
    <row r="6" customFormat="false" ht="15.25" hidden="false" customHeight="false" outlineLevel="0" collapsed="false">
      <c r="B6" s="4" t="s">
        <v>1</v>
      </c>
      <c r="C6" s="4"/>
      <c r="D6" s="5"/>
      <c r="E6" s="5"/>
    </row>
    <row r="7" customFormat="false" ht="15.25" hidden="false" customHeight="false" outlineLevel="0" collapsed="false">
      <c r="B7" s="4" t="s">
        <v>2</v>
      </c>
      <c r="C7" s="4"/>
      <c r="D7" s="5"/>
      <c r="E7" s="5"/>
    </row>
    <row r="8" customFormat="false" ht="15.25" hidden="false" customHeight="false" outlineLevel="0" collapsed="false">
      <c r="B8" s="4" t="s">
        <v>3</v>
      </c>
      <c r="C8" s="4"/>
      <c r="D8" s="5"/>
      <c r="E8" s="5"/>
    </row>
    <row r="9" customFormat="false" ht="15.25" hidden="false" customHeight="false" outlineLevel="0" collapsed="false">
      <c r="B9" s="4" t="s">
        <v>4</v>
      </c>
      <c r="C9" s="4"/>
      <c r="D9" s="5"/>
      <c r="E9" s="5"/>
    </row>
    <row r="10" customFormat="false" ht="15.25" hidden="false" customHeight="false" outlineLevel="0" collapsed="false">
      <c r="B10" s="2" t="s">
        <v>5</v>
      </c>
      <c r="C10" s="2"/>
      <c r="D10" s="2"/>
      <c r="E10" s="2"/>
    </row>
    <row r="11" customFormat="false" ht="15.25" hidden="false" customHeight="false" outlineLevel="0" collapsed="false">
      <c r="B11" s="6" t="s">
        <v>6</v>
      </c>
      <c r="C11" s="6" t="s">
        <v>7</v>
      </c>
      <c r="D11" s="5"/>
      <c r="E11" s="5"/>
    </row>
    <row r="12" customFormat="false" ht="15.25" hidden="false" customHeight="false" outlineLevel="0" collapsed="false">
      <c r="B12" s="6" t="s">
        <v>8</v>
      </c>
      <c r="C12" s="6" t="s">
        <v>9</v>
      </c>
      <c r="D12" s="2" t="s">
        <v>163</v>
      </c>
      <c r="E12" s="2"/>
    </row>
    <row r="13" customFormat="false" ht="29.65" hidden="false" customHeight="true" outlineLevel="0" collapsed="false">
      <c r="B13" s="6" t="s">
        <v>11</v>
      </c>
      <c r="C13" s="7" t="s">
        <v>12</v>
      </c>
      <c r="D13" s="2" t="s">
        <v>13</v>
      </c>
      <c r="E13" s="2"/>
    </row>
    <row r="14" customFormat="false" ht="15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</row>
    <row r="15" customFormat="false" ht="15.25" hidden="false" customHeight="false" outlineLevel="0" collapsed="false">
      <c r="B15" s="2" t="s">
        <v>16</v>
      </c>
      <c r="C15" s="2"/>
      <c r="D15" s="2"/>
      <c r="E15" s="2"/>
    </row>
    <row r="16" customFormat="false" ht="57.4" hidden="false" customHeight="true" outlineLevel="0" collapsed="false">
      <c r="B16" s="9" t="s">
        <v>17</v>
      </c>
      <c r="C16" s="9"/>
      <c r="D16" s="9" t="s">
        <v>18</v>
      </c>
      <c r="E16" s="9" t="s">
        <v>19</v>
      </c>
    </row>
    <row r="17" customFormat="false" ht="15.25" hidden="false" customHeight="false" outlineLevel="0" collapsed="false">
      <c r="B17" s="2" t="s">
        <v>20</v>
      </c>
      <c r="C17" s="2"/>
      <c r="D17" s="6" t="s">
        <v>21</v>
      </c>
      <c r="E17" s="2" t="n">
        <v>1</v>
      </c>
    </row>
    <row r="18" customFormat="false" ht="15.25" hidden="false" customHeight="false" outlineLevel="0" collapsed="false">
      <c r="B18" s="2" t="s">
        <v>22</v>
      </c>
      <c r="C18" s="2"/>
      <c r="D18" s="2"/>
      <c r="E18" s="2"/>
    </row>
    <row r="19" customFormat="false" ht="14.9" hidden="false" customHeight="false" outlineLevel="0" collapsed="false">
      <c r="B19" s="2" t="s">
        <v>23</v>
      </c>
      <c r="C19" s="2"/>
      <c r="D19" s="2"/>
      <c r="E19" s="2"/>
    </row>
    <row r="20" customFormat="false" ht="15.25" hidden="false" customHeight="false" outlineLevel="0" collapsed="false">
      <c r="B20" s="10" t="n">
        <v>1</v>
      </c>
      <c r="C20" s="6" t="s">
        <v>24</v>
      </c>
      <c r="D20" s="77" t="s">
        <v>25</v>
      </c>
      <c r="E20" s="77"/>
    </row>
    <row r="21" customFormat="false" ht="15.25" hidden="false" customHeight="false" outlineLevel="0" collapsed="false">
      <c r="B21" s="10" t="n">
        <v>2</v>
      </c>
      <c r="C21" s="6" t="s">
        <v>26</v>
      </c>
      <c r="D21" s="12" t="n">
        <v>1602.86</v>
      </c>
      <c r="E21" s="12"/>
    </row>
    <row r="22" customFormat="false" ht="15.25" hidden="false" customHeight="false" outlineLevel="0" collapsed="false">
      <c r="B22" s="10" t="n">
        <v>3</v>
      </c>
      <c r="C22" s="6" t="s">
        <v>27</v>
      </c>
      <c r="D22" s="77" t="s">
        <v>25</v>
      </c>
      <c r="E22" s="77"/>
    </row>
    <row r="23" customFormat="false" ht="15.25" hidden="false" customHeight="false" outlineLevel="0" collapsed="false">
      <c r="B23" s="10" t="n">
        <v>4</v>
      </c>
      <c r="C23" s="6" t="s">
        <v>28</v>
      </c>
      <c r="D23" s="13" t="n">
        <v>42736</v>
      </c>
      <c r="E23" s="13"/>
    </row>
    <row r="24" customFormat="false" ht="15.25" hidden="false" customHeight="false" outlineLevel="0" collapsed="false">
      <c r="B24" s="2" t="s">
        <v>29</v>
      </c>
      <c r="C24" s="2"/>
      <c r="D24" s="2"/>
      <c r="E24" s="2"/>
    </row>
    <row r="25" customFormat="false" ht="15.25" hidden="false" customHeight="false" outlineLevel="0" collapsed="false">
      <c r="B25" s="2" t="n">
        <v>1</v>
      </c>
      <c r="C25" s="2" t="s">
        <v>30</v>
      </c>
      <c r="D25" s="10" t="s">
        <v>31</v>
      </c>
      <c r="E25" s="14" t="s">
        <v>32</v>
      </c>
    </row>
    <row r="26" customFormat="false" ht="15.25" hidden="false" customHeight="false" outlineLevel="0" collapsed="false">
      <c r="B26" s="10" t="s">
        <v>6</v>
      </c>
      <c r="C26" s="6" t="s">
        <v>33</v>
      </c>
      <c r="D26" s="6"/>
      <c r="E26" s="15" t="n">
        <f aca="false">D21</f>
        <v>1602.86</v>
      </c>
    </row>
    <row r="27" customFormat="false" ht="15.25" hidden="false" customHeight="false" outlineLevel="0" collapsed="false">
      <c r="B27" s="10" t="s">
        <v>8</v>
      </c>
      <c r="C27" s="6" t="s">
        <v>34</v>
      </c>
      <c r="D27" s="17" t="n">
        <v>0.3</v>
      </c>
      <c r="E27" s="15" t="n">
        <f aca="false">E26*0.3</f>
        <v>480.858</v>
      </c>
    </row>
    <row r="28" customFormat="false" ht="15.25" hidden="false" customHeight="false" outlineLevel="0" collapsed="false">
      <c r="B28" s="10" t="s">
        <v>11</v>
      </c>
      <c r="C28" s="6" t="s">
        <v>35</v>
      </c>
      <c r="D28" s="17" t="n">
        <v>0.6</v>
      </c>
      <c r="E28" s="15" t="n">
        <f aca="false">(E26+E27)/220*1.6*15</f>
        <v>227.314690909091</v>
      </c>
    </row>
    <row r="29" customFormat="false" ht="15.25" hidden="false" customHeight="false" outlineLevel="0" collapsed="false">
      <c r="B29" s="10" t="s">
        <v>14</v>
      </c>
      <c r="C29" s="6" t="s">
        <v>36</v>
      </c>
      <c r="D29" s="17" t="n">
        <v>0.4</v>
      </c>
      <c r="E29" s="15" t="n">
        <f aca="false">(E26+E27)/220*0.4*8*15</f>
        <v>454.629381818182</v>
      </c>
    </row>
    <row r="30" customFormat="false" ht="15.25" hidden="false" customHeight="false" outlineLevel="0" collapsed="false">
      <c r="B30" s="10" t="s">
        <v>37</v>
      </c>
      <c r="C30" s="6" t="s">
        <v>38</v>
      </c>
      <c r="D30" s="6" t="n">
        <v>16</v>
      </c>
      <c r="E30" s="15" t="n">
        <f aca="false">(E26+E27)*2/220*8</f>
        <v>151.543127272727</v>
      </c>
    </row>
    <row r="31" customFormat="false" ht="15.25" hidden="false" customHeight="false" outlineLevel="0" collapsed="false">
      <c r="B31" s="10" t="s">
        <v>39</v>
      </c>
      <c r="C31" s="6" t="s">
        <v>40</v>
      </c>
      <c r="D31" s="19"/>
      <c r="E31" s="15" t="n">
        <f aca="false">(E28+E29+E30)*5/25</f>
        <v>166.69744</v>
      </c>
    </row>
    <row r="32" customFormat="false" ht="15.25" hidden="false" customHeight="false" outlineLevel="0" collapsed="false">
      <c r="B32" s="20" t="s">
        <v>41</v>
      </c>
      <c r="C32" s="20"/>
      <c r="D32" s="20"/>
      <c r="E32" s="21" t="n">
        <f aca="false">SUM(E26:E31)</f>
        <v>3083.90264</v>
      </c>
    </row>
    <row r="33" customFormat="false" ht="15.25" hidden="false" customHeight="false" outlineLevel="0" collapsed="false">
      <c r="B33" s="2" t="s">
        <v>42</v>
      </c>
      <c r="C33" s="2"/>
      <c r="D33" s="2"/>
      <c r="E33" s="2"/>
    </row>
    <row r="34" customFormat="false" ht="15.25" hidden="false" customHeight="false" outlineLevel="0" collapsed="false">
      <c r="B34" s="2" t="n">
        <v>2</v>
      </c>
      <c r="C34" s="2" t="s">
        <v>43</v>
      </c>
      <c r="D34" s="10"/>
      <c r="E34" s="2" t="s">
        <v>32</v>
      </c>
    </row>
    <row r="35" customFormat="false" ht="15.25" hidden="false" customHeight="false" outlineLevel="0" collapsed="false">
      <c r="B35" s="10" t="s">
        <v>6</v>
      </c>
      <c r="C35" s="6" t="s">
        <v>44</v>
      </c>
      <c r="D35" s="23"/>
      <c r="E35" s="24" t="n">
        <f aca="false">'Equipamentos Moradia Estudantil'!H85</f>
        <v>160.714285714286</v>
      </c>
    </row>
    <row r="36" customFormat="false" ht="15.25" hidden="false" customHeight="false" outlineLevel="0" collapsed="false">
      <c r="B36" s="10" t="s">
        <v>8</v>
      </c>
      <c r="C36" s="6" t="s">
        <v>45</v>
      </c>
      <c r="D36" s="23" t="n">
        <v>15.99</v>
      </c>
      <c r="E36" s="24" t="n">
        <f aca="false">D36*0.9*15</f>
        <v>215.865</v>
      </c>
    </row>
    <row r="37" customFormat="false" ht="15.25" hidden="false" customHeight="false" outlineLevel="0" collapsed="false">
      <c r="B37" s="10" t="s">
        <v>11</v>
      </c>
      <c r="C37" s="6" t="s">
        <v>46</v>
      </c>
      <c r="D37" s="23"/>
      <c r="E37" s="23" t="n">
        <v>112.9</v>
      </c>
    </row>
    <row r="38" customFormat="false" ht="15.25" hidden="false" customHeight="false" outlineLevel="0" collapsed="false">
      <c r="B38" s="10" t="s">
        <v>14</v>
      </c>
      <c r="C38" s="6" t="s">
        <v>47</v>
      </c>
      <c r="D38" s="6"/>
      <c r="E38" s="23" t="n">
        <v>91.08</v>
      </c>
    </row>
    <row r="39" customFormat="false" ht="15.25" hidden="false" customHeight="false" outlineLevel="0" collapsed="false">
      <c r="B39" s="10" t="s">
        <v>37</v>
      </c>
      <c r="C39" s="6" t="s">
        <v>48</v>
      </c>
      <c r="D39" s="23"/>
      <c r="E39" s="23" t="n">
        <f aca="false">'Média Insumos e benefícios'!E28</f>
        <v>19.0666666666667</v>
      </c>
    </row>
    <row r="40" customFormat="false" ht="15.25" hidden="false" customHeight="false" outlineLevel="0" collapsed="false">
      <c r="B40" s="10" t="s">
        <v>39</v>
      </c>
      <c r="C40" s="6" t="s">
        <v>49</v>
      </c>
      <c r="D40" s="23"/>
      <c r="E40" s="23"/>
    </row>
    <row r="41" customFormat="false" ht="15.25" hidden="false" customHeight="false" outlineLevel="0" collapsed="false">
      <c r="B41" s="20" t="s">
        <v>50</v>
      </c>
      <c r="C41" s="20"/>
      <c r="D41" s="20"/>
      <c r="E41" s="21" t="n">
        <f aca="false">SUM(E35:E40)</f>
        <v>599.625952380952</v>
      </c>
    </row>
    <row r="42" customFormat="false" ht="15.65" hidden="false" customHeight="false" outlineLevel="0" collapsed="false">
      <c r="B42" s="2" t="s">
        <v>51</v>
      </c>
      <c r="C42" s="2"/>
      <c r="D42" s="2"/>
      <c r="E42" s="2"/>
    </row>
    <row r="43" customFormat="false" ht="15.25" hidden="false" customHeight="false" outlineLevel="0" collapsed="false">
      <c r="B43" s="2" t="n">
        <v>3</v>
      </c>
      <c r="C43" s="2" t="s">
        <v>52</v>
      </c>
      <c r="D43" s="10" t="s">
        <v>31</v>
      </c>
      <c r="E43" s="2" t="s">
        <v>32</v>
      </c>
    </row>
    <row r="44" customFormat="false" ht="15.9" hidden="false" customHeight="false" outlineLevel="0" collapsed="false">
      <c r="B44" s="10" t="s">
        <v>6</v>
      </c>
      <c r="C44" s="6" t="s">
        <v>53</v>
      </c>
      <c r="D44" s="6"/>
      <c r="E44" s="23" t="n">
        <f aca="false">'Equipamentos Moradia Estudantil'!H83</f>
        <v>187.134166666667</v>
      </c>
    </row>
    <row r="45" customFormat="false" ht="15.25" hidden="false" customHeight="false" outlineLevel="0" collapsed="false">
      <c r="B45" s="10" t="s">
        <v>8</v>
      </c>
      <c r="C45" s="6" t="s">
        <v>54</v>
      </c>
      <c r="D45" s="6"/>
      <c r="E45" s="23" t="n">
        <f aca="false">'Equipamentos Moradia Estudantil'!H81</f>
        <v>3.81815625</v>
      </c>
    </row>
    <row r="46" customFormat="false" ht="15.25" hidden="false" customHeight="false" outlineLevel="0" collapsed="false">
      <c r="B46" s="10" t="s">
        <v>11</v>
      </c>
      <c r="C46" s="6" t="s">
        <v>55</v>
      </c>
      <c r="D46" s="6"/>
      <c r="E46" s="23" t="n">
        <f aca="false">'Equipamentos Moradia Estudantil'!H79</f>
        <v>4.62</v>
      </c>
    </row>
    <row r="47" customFormat="false" ht="15.25" hidden="false" customHeight="false" outlineLevel="0" collapsed="false">
      <c r="B47" s="10" t="s">
        <v>14</v>
      </c>
      <c r="C47" s="6" t="s">
        <v>56</v>
      </c>
      <c r="D47" s="6"/>
      <c r="E47" s="23" t="n">
        <v>4</v>
      </c>
    </row>
    <row r="48" customFormat="false" ht="15.25" hidden="false" customHeight="false" outlineLevel="0" collapsed="false">
      <c r="B48" s="10" t="s">
        <v>37</v>
      </c>
      <c r="C48" s="6" t="s">
        <v>57</v>
      </c>
      <c r="D48" s="6"/>
      <c r="E48" s="23" t="n">
        <f aca="false">'Média Insumos e benefícios'!K28</f>
        <v>128.666666666667</v>
      </c>
    </row>
    <row r="49" customFormat="false" ht="15.25" hidden="false" customHeight="false" outlineLevel="0" collapsed="false">
      <c r="B49" s="20" t="s">
        <v>58</v>
      </c>
      <c r="C49" s="20"/>
      <c r="D49" s="20"/>
      <c r="E49" s="33" t="n">
        <f aca="false">SUM(E44:E48)</f>
        <v>328.238989583333</v>
      </c>
    </row>
    <row r="50" customFormat="false" ht="15.25" hidden="false" customHeight="false" outlineLevel="0" collapsed="false">
      <c r="B50" s="2" t="s">
        <v>59</v>
      </c>
      <c r="C50" s="2"/>
      <c r="D50" s="2"/>
      <c r="E50" s="2"/>
    </row>
    <row r="51" customFormat="false" ht="15.25" hidden="false" customHeight="false" outlineLevel="0" collapsed="false">
      <c r="B51" s="34" t="s">
        <v>60</v>
      </c>
      <c r="C51" s="34"/>
      <c r="D51" s="34"/>
      <c r="E51" s="34"/>
    </row>
    <row r="52" customFormat="false" ht="15.25" hidden="false" customHeight="false" outlineLevel="0" collapsed="false">
      <c r="B52" s="2" t="s">
        <v>61</v>
      </c>
      <c r="C52" s="2" t="s">
        <v>62</v>
      </c>
      <c r="D52" s="10" t="s">
        <v>31</v>
      </c>
      <c r="E52" s="2" t="s">
        <v>32</v>
      </c>
    </row>
    <row r="53" customFormat="false" ht="15.25" hidden="false" customHeight="false" outlineLevel="0" collapsed="false">
      <c r="B53" s="10" t="s">
        <v>6</v>
      </c>
      <c r="C53" s="6" t="s">
        <v>63</v>
      </c>
      <c r="D53" s="35" t="n">
        <v>0.2</v>
      </c>
      <c r="E53" s="24" t="n">
        <f aca="false">$E$32*D53</f>
        <v>616.780528</v>
      </c>
    </row>
    <row r="54" customFormat="false" ht="15.25" hidden="false" customHeight="false" outlineLevel="0" collapsed="false">
      <c r="B54" s="10" t="s">
        <v>8</v>
      </c>
      <c r="C54" s="6" t="s">
        <v>64</v>
      </c>
      <c r="D54" s="35" t="n">
        <v>0.015</v>
      </c>
      <c r="E54" s="24" t="n">
        <f aca="false">$E$32*D54</f>
        <v>46.2585396</v>
      </c>
    </row>
    <row r="55" customFormat="false" ht="15.25" hidden="false" customHeight="false" outlineLevel="0" collapsed="false">
      <c r="B55" s="10" t="s">
        <v>11</v>
      </c>
      <c r="C55" s="6" t="s">
        <v>65</v>
      </c>
      <c r="D55" s="35" t="n">
        <v>0.01</v>
      </c>
      <c r="E55" s="24" t="n">
        <f aca="false">$E$32*D55</f>
        <v>30.8390264</v>
      </c>
    </row>
    <row r="56" customFormat="false" ht="15.25" hidden="false" customHeight="false" outlineLevel="0" collapsed="false">
      <c r="B56" s="10" t="s">
        <v>14</v>
      </c>
      <c r="C56" s="6" t="s">
        <v>66</v>
      </c>
      <c r="D56" s="35" t="n">
        <v>0.002</v>
      </c>
      <c r="E56" s="24" t="n">
        <f aca="false">$E$32*D56</f>
        <v>6.16780528</v>
      </c>
    </row>
    <row r="57" customFormat="false" ht="15.25" hidden="false" customHeight="false" outlineLevel="0" collapsed="false">
      <c r="B57" s="10" t="s">
        <v>37</v>
      </c>
      <c r="C57" s="6" t="s">
        <v>67</v>
      </c>
      <c r="D57" s="35" t="n">
        <v>0.025</v>
      </c>
      <c r="E57" s="24" t="n">
        <f aca="false">$E$32*D57</f>
        <v>77.097566</v>
      </c>
    </row>
    <row r="58" customFormat="false" ht="15.25" hidden="false" customHeight="false" outlineLevel="0" collapsed="false">
      <c r="B58" s="10" t="s">
        <v>39</v>
      </c>
      <c r="C58" s="6" t="s">
        <v>68</v>
      </c>
      <c r="D58" s="35" t="n">
        <v>0.08</v>
      </c>
      <c r="E58" s="24" t="n">
        <f aca="false">$E$32*D58</f>
        <v>246.7122112</v>
      </c>
    </row>
    <row r="59" customFormat="false" ht="15.25" hidden="false" customHeight="false" outlineLevel="0" collapsed="false">
      <c r="B59" s="10" t="s">
        <v>69</v>
      </c>
      <c r="C59" s="6" t="s">
        <v>70</v>
      </c>
      <c r="D59" s="35" t="n">
        <v>0.03</v>
      </c>
      <c r="E59" s="24" t="n">
        <f aca="false">$E$32*D59</f>
        <v>92.5170792</v>
      </c>
    </row>
    <row r="60" customFormat="false" ht="15.25" hidden="false" customHeight="false" outlineLevel="0" collapsed="false">
      <c r="B60" s="10" t="s">
        <v>71</v>
      </c>
      <c r="C60" s="6" t="s">
        <v>72</v>
      </c>
      <c r="D60" s="35" t="n">
        <v>0.006</v>
      </c>
      <c r="E60" s="24" t="n">
        <f aca="false">$E$32*D60</f>
        <v>18.50341584</v>
      </c>
    </row>
    <row r="61" customFormat="false" ht="15.25" hidden="false" customHeight="false" outlineLevel="0" collapsed="false">
      <c r="B61" s="20" t="s">
        <v>73</v>
      </c>
      <c r="C61" s="20"/>
      <c r="D61" s="38" t="n">
        <v>0.368</v>
      </c>
      <c r="E61" s="21" t="n">
        <f aca="false">$E$32*D61</f>
        <v>1134.87617152</v>
      </c>
    </row>
    <row r="62" customFormat="false" ht="15.25" hidden="false" customHeight="false" outlineLevel="0" collapsed="false">
      <c r="B62" s="34" t="s">
        <v>74</v>
      </c>
      <c r="C62" s="34"/>
      <c r="D62" s="34"/>
      <c r="E62" s="34"/>
    </row>
    <row r="63" customFormat="false" ht="15.65" hidden="false" customHeight="false" outlineLevel="0" collapsed="false">
      <c r="B63" s="2" t="s">
        <v>75</v>
      </c>
      <c r="C63" s="34" t="s">
        <v>76</v>
      </c>
      <c r="D63" s="10" t="s">
        <v>31</v>
      </c>
      <c r="E63" s="2" t="s">
        <v>32</v>
      </c>
    </row>
    <row r="64" customFormat="false" ht="15.25" hidden="false" customHeight="false" outlineLevel="0" collapsed="false">
      <c r="B64" s="10" t="s">
        <v>6</v>
      </c>
      <c r="C64" s="6" t="s">
        <v>77</v>
      </c>
      <c r="D64" s="41" t="n">
        <v>0.0833</v>
      </c>
      <c r="E64" s="24" t="n">
        <f aca="false">$E$32*D64</f>
        <v>256.889089912</v>
      </c>
    </row>
    <row r="65" customFormat="false" ht="22.95" hidden="false" customHeight="true" outlineLevel="0" collapsed="false">
      <c r="B65" s="10" t="s">
        <v>8</v>
      </c>
      <c r="C65" s="7" t="s">
        <v>78</v>
      </c>
      <c r="D65" s="41" t="n">
        <f aca="false">D64*D61</f>
        <v>0.0306544</v>
      </c>
      <c r="E65" s="24" t="n">
        <f aca="false">$E$32*D65</f>
        <v>94.535185087616</v>
      </c>
    </row>
    <row r="66" customFormat="false" ht="15.25" hidden="false" customHeight="false" outlineLevel="0" collapsed="false">
      <c r="B66" s="20" t="s">
        <v>73</v>
      </c>
      <c r="C66" s="20"/>
      <c r="D66" s="41" t="n">
        <v>0.1139544</v>
      </c>
      <c r="E66" s="21" t="n">
        <f aca="false">$E$32*D66</f>
        <v>351.424274999616</v>
      </c>
    </row>
    <row r="67" customFormat="false" ht="15.25" hidden="false" customHeight="false" outlineLevel="0" collapsed="false">
      <c r="B67" s="34" t="s">
        <v>79</v>
      </c>
      <c r="C67" s="34"/>
      <c r="D67" s="34"/>
      <c r="E67" s="34"/>
    </row>
    <row r="68" customFormat="false" ht="15.25" hidden="false" customHeight="false" outlineLevel="0" collapsed="false">
      <c r="B68" s="2" t="s">
        <v>80</v>
      </c>
      <c r="C68" s="2" t="s">
        <v>81</v>
      </c>
      <c r="D68" s="10" t="s">
        <v>31</v>
      </c>
      <c r="E68" s="2" t="s">
        <v>32</v>
      </c>
    </row>
    <row r="69" customFormat="false" ht="15.25" hidden="false" customHeight="false" outlineLevel="0" collapsed="false">
      <c r="B69" s="10" t="s">
        <v>6</v>
      </c>
      <c r="C69" s="6" t="s">
        <v>81</v>
      </c>
      <c r="D69" s="44" t="n">
        <v>0.00074</v>
      </c>
      <c r="E69" s="24" t="n">
        <f aca="false">$E$32*D69</f>
        <v>2.2820879536</v>
      </c>
    </row>
    <row r="70" customFormat="false" ht="21" hidden="false" customHeight="true" outlineLevel="0" collapsed="false">
      <c r="B70" s="10" t="s">
        <v>8</v>
      </c>
      <c r="C70" s="7" t="s">
        <v>82</v>
      </c>
      <c r="D70" s="44" t="n">
        <f aca="false">D69*D61</f>
        <v>0.00027232</v>
      </c>
      <c r="E70" s="24" t="n">
        <f aca="false">$E$32*D70</f>
        <v>0.8398083669248</v>
      </c>
    </row>
    <row r="71" customFormat="false" ht="15.25" hidden="false" customHeight="false" outlineLevel="0" collapsed="false">
      <c r="B71" s="20" t="s">
        <v>73</v>
      </c>
      <c r="C71" s="20"/>
      <c r="D71" s="46" t="n">
        <v>0.00104</v>
      </c>
      <c r="E71" s="21" t="n">
        <f aca="false">$E$32*D71</f>
        <v>3.2072587456</v>
      </c>
    </row>
    <row r="72" customFormat="false" ht="15.25" hidden="false" customHeight="false" outlineLevel="0" collapsed="false">
      <c r="B72" s="34" t="s">
        <v>83</v>
      </c>
      <c r="C72" s="34"/>
      <c r="D72" s="34"/>
      <c r="E72" s="34"/>
    </row>
    <row r="73" customFormat="false" ht="15.25" hidden="false" customHeight="false" outlineLevel="0" collapsed="false">
      <c r="B73" s="2" t="s">
        <v>84</v>
      </c>
      <c r="C73" s="2" t="s">
        <v>85</v>
      </c>
      <c r="D73" s="10" t="s">
        <v>31</v>
      </c>
      <c r="E73" s="2" t="s">
        <v>32</v>
      </c>
    </row>
    <row r="74" customFormat="false" ht="15.25" hidden="false" customHeight="false" outlineLevel="0" collapsed="false">
      <c r="B74" s="10" t="s">
        <v>6</v>
      </c>
      <c r="C74" s="6" t="s">
        <v>86</v>
      </c>
      <c r="D74" s="41" t="n">
        <v>0.00416666666666667</v>
      </c>
      <c r="E74" s="24" t="n">
        <f aca="false">$E$32*D74</f>
        <v>12.8495943333333</v>
      </c>
    </row>
    <row r="75" customFormat="false" ht="22" hidden="false" customHeight="true" outlineLevel="0" collapsed="false">
      <c r="B75" s="10" t="s">
        <v>8</v>
      </c>
      <c r="C75" s="7" t="s">
        <v>87</v>
      </c>
      <c r="D75" s="41" t="n">
        <v>0.000333333333333333</v>
      </c>
      <c r="E75" s="24" t="n">
        <f aca="false">$E$32*D75</f>
        <v>1.02796754666667</v>
      </c>
    </row>
    <row r="76" customFormat="false" ht="15.25" hidden="false" customHeight="false" outlineLevel="0" collapsed="false">
      <c r="B76" s="10" t="s">
        <v>11</v>
      </c>
      <c r="C76" s="6" t="s">
        <v>88</v>
      </c>
      <c r="D76" s="41" t="n">
        <v>0.043</v>
      </c>
      <c r="E76" s="24" t="n">
        <f aca="false">$E$32*D76</f>
        <v>132.60781352</v>
      </c>
    </row>
    <row r="77" customFormat="false" ht="15.25" hidden="false" customHeight="false" outlineLevel="0" collapsed="false">
      <c r="B77" s="10" t="s">
        <v>14</v>
      </c>
      <c r="C77" s="6" t="s">
        <v>89</v>
      </c>
      <c r="D77" s="47" t="n">
        <v>0.0194444444444444</v>
      </c>
      <c r="E77" s="24" t="n">
        <f aca="false">$E$32*D77</f>
        <v>59.9647735555554</v>
      </c>
    </row>
    <row r="78" customFormat="false" ht="23.9" hidden="false" customHeight="true" outlineLevel="0" collapsed="false">
      <c r="B78" s="10" t="s">
        <v>37</v>
      </c>
      <c r="C78" s="7" t="s">
        <v>90</v>
      </c>
      <c r="D78" s="41" t="n">
        <v>0.00715555555555556</v>
      </c>
      <c r="E78" s="24" t="n">
        <f aca="false">$E$32*D78</f>
        <v>22.0670366684445</v>
      </c>
    </row>
    <row r="79" customFormat="false" ht="15.25" hidden="false" customHeight="false" outlineLevel="0" collapsed="false">
      <c r="B79" s="10" t="s">
        <v>39</v>
      </c>
      <c r="C79" s="6" t="s">
        <v>91</v>
      </c>
      <c r="D79" s="41" t="n">
        <v>0.000776</v>
      </c>
      <c r="E79" s="24" t="n">
        <f aca="false">$E$32*D79</f>
        <v>2.39310844864</v>
      </c>
    </row>
    <row r="80" customFormat="false" ht="15.25" hidden="false" customHeight="false" outlineLevel="0" collapsed="false">
      <c r="B80" s="20" t="s">
        <v>73</v>
      </c>
      <c r="C80" s="20"/>
      <c r="D80" s="41" t="n">
        <v>0.074876</v>
      </c>
      <c r="E80" s="21" t="n">
        <f aca="false">$E$32*D80</f>
        <v>230.91029407264</v>
      </c>
    </row>
    <row r="81" customFormat="false" ht="15.25" hidden="false" customHeight="false" outlineLevel="0" collapsed="false">
      <c r="B81" s="34" t="s">
        <v>92</v>
      </c>
      <c r="C81" s="34"/>
      <c r="D81" s="34"/>
      <c r="E81" s="34"/>
    </row>
    <row r="82" customFormat="false" ht="28.7" hidden="false" customHeight="true" outlineLevel="0" collapsed="false">
      <c r="B82" s="2" t="s">
        <v>93</v>
      </c>
      <c r="C82" s="14" t="s">
        <v>94</v>
      </c>
      <c r="D82" s="48" t="s">
        <v>31</v>
      </c>
      <c r="E82" s="2" t="s">
        <v>32</v>
      </c>
    </row>
    <row r="83" customFormat="false" ht="15.25" hidden="false" customHeight="false" outlineLevel="0" collapsed="false">
      <c r="B83" s="10" t="s">
        <v>6</v>
      </c>
      <c r="C83" s="6" t="s">
        <v>95</v>
      </c>
      <c r="D83" s="49" t="n">
        <v>0.1111</v>
      </c>
      <c r="E83" s="24" t="n">
        <f aca="false">$E$32*D83</f>
        <v>342.621583304</v>
      </c>
    </row>
    <row r="84" customFormat="false" ht="15.25" hidden="false" customHeight="false" outlineLevel="0" collapsed="false">
      <c r="B84" s="10" t="s">
        <v>8</v>
      </c>
      <c r="C84" s="6" t="s">
        <v>96</v>
      </c>
      <c r="D84" s="49" t="n">
        <v>0.0166</v>
      </c>
      <c r="E84" s="24" t="n">
        <f aca="false">$E$32*D84</f>
        <v>51.192783824</v>
      </c>
    </row>
    <row r="85" customFormat="false" ht="15.25" hidden="false" customHeight="false" outlineLevel="0" collapsed="false">
      <c r="B85" s="10" t="s">
        <v>11</v>
      </c>
      <c r="C85" s="6" t="s">
        <v>97</v>
      </c>
      <c r="D85" s="49" t="n">
        <v>0.0002</v>
      </c>
      <c r="E85" s="24" t="n">
        <f aca="false">$E$32*D85</f>
        <v>0.616780528</v>
      </c>
    </row>
    <row r="86" customFormat="false" ht="15.25" hidden="false" customHeight="false" outlineLevel="0" collapsed="false">
      <c r="B86" s="10" t="s">
        <v>14</v>
      </c>
      <c r="C86" s="6" t="s">
        <v>98</v>
      </c>
      <c r="D86" s="49" t="n">
        <v>0.0028</v>
      </c>
      <c r="E86" s="24" t="n">
        <f aca="false">$E$32*D86</f>
        <v>8.634927392</v>
      </c>
    </row>
    <row r="87" customFormat="false" ht="15.25" hidden="false" customHeight="false" outlineLevel="0" collapsed="false">
      <c r="B87" s="10" t="s">
        <v>37</v>
      </c>
      <c r="C87" s="6" t="s">
        <v>99</v>
      </c>
      <c r="D87" s="49" t="n">
        <v>0.0003</v>
      </c>
      <c r="E87" s="24" t="n">
        <f aca="false">$E$32*D87</f>
        <v>0.925170792</v>
      </c>
    </row>
    <row r="88" customFormat="false" ht="15.25" hidden="false" customHeight="false" outlineLevel="0" collapsed="false">
      <c r="B88" s="10" t="s">
        <v>39</v>
      </c>
      <c r="C88" s="6" t="s">
        <v>100</v>
      </c>
      <c r="D88" s="49"/>
      <c r="E88" s="24" t="n">
        <v>0</v>
      </c>
    </row>
    <row r="89" customFormat="false" ht="15.25" hidden="false" customHeight="false" outlineLevel="0" collapsed="false">
      <c r="B89" s="34" t="s">
        <v>101</v>
      </c>
      <c r="C89" s="34"/>
      <c r="D89" s="53" t="n">
        <v>0.131</v>
      </c>
      <c r="E89" s="21" t="n">
        <f aca="false">$E$32*D89</f>
        <v>403.99124584</v>
      </c>
    </row>
    <row r="90" customFormat="false" ht="25.8" hidden="false" customHeight="true" outlineLevel="0" collapsed="false">
      <c r="B90" s="10" t="s">
        <v>69</v>
      </c>
      <c r="C90" s="54" t="s">
        <v>102</v>
      </c>
      <c r="D90" s="49" t="n">
        <v>0.048208</v>
      </c>
      <c r="E90" s="24" t="n">
        <f aca="false">$E$32*D90</f>
        <v>148.66877846912</v>
      </c>
    </row>
    <row r="91" customFormat="false" ht="15.25" hidden="false" customHeight="false" outlineLevel="0" collapsed="false">
      <c r="B91" s="20" t="s">
        <v>73</v>
      </c>
      <c r="C91" s="20"/>
      <c r="D91" s="53" t="n">
        <v>0.179208</v>
      </c>
      <c r="E91" s="21" t="n">
        <f aca="false">$E$32*D91</f>
        <v>552.66002430912</v>
      </c>
    </row>
    <row r="92" customFormat="false" ht="30.6" hidden="false" customHeight="true" outlineLevel="0" collapsed="false">
      <c r="B92" s="14" t="s">
        <v>103</v>
      </c>
      <c r="C92" s="14"/>
      <c r="D92" s="14"/>
      <c r="E92" s="14"/>
    </row>
    <row r="93" customFormat="false" ht="15.25" hidden="false" customHeight="false" outlineLevel="0" collapsed="false">
      <c r="B93" s="2" t="n">
        <v>4</v>
      </c>
      <c r="C93" s="2" t="s">
        <v>104</v>
      </c>
      <c r="D93" s="10" t="s">
        <v>31</v>
      </c>
      <c r="E93" s="2" t="s">
        <v>32</v>
      </c>
    </row>
    <row r="94" customFormat="false" ht="15.65" hidden="false" customHeight="false" outlineLevel="0" collapsed="false">
      <c r="B94" s="10" t="s">
        <v>105</v>
      </c>
      <c r="C94" s="6" t="s">
        <v>106</v>
      </c>
      <c r="D94" s="56" t="n">
        <v>0.368</v>
      </c>
      <c r="E94" s="24" t="n">
        <f aca="false">$E$32*D94</f>
        <v>1134.87617152</v>
      </c>
    </row>
    <row r="95" customFormat="false" ht="15.65" hidden="false" customHeight="false" outlineLevel="0" collapsed="false">
      <c r="B95" s="10" t="s">
        <v>107</v>
      </c>
      <c r="C95" s="6" t="s">
        <v>108</v>
      </c>
      <c r="D95" s="56" t="n">
        <v>0.1139544</v>
      </c>
      <c r="E95" s="24" t="n">
        <f aca="false">$E$32*D95</f>
        <v>351.424274999616</v>
      </c>
    </row>
    <row r="96" customFormat="false" ht="15.65" hidden="false" customHeight="false" outlineLevel="0" collapsed="false">
      <c r="B96" s="10" t="s">
        <v>109</v>
      </c>
      <c r="C96" s="6" t="s">
        <v>110</v>
      </c>
      <c r="D96" s="56" t="n">
        <v>0.00104</v>
      </c>
      <c r="E96" s="24" t="n">
        <f aca="false">$E$32*D96</f>
        <v>3.2072587456</v>
      </c>
    </row>
    <row r="97" customFormat="false" ht="15.65" hidden="false" customHeight="false" outlineLevel="0" collapsed="false">
      <c r="B97" s="10" t="s">
        <v>111</v>
      </c>
      <c r="C97" s="6" t="s">
        <v>112</v>
      </c>
      <c r="D97" s="56" t="n">
        <v>0.074876</v>
      </c>
      <c r="E97" s="24" t="n">
        <f aca="false">$E$32*D97</f>
        <v>230.91029407264</v>
      </c>
    </row>
    <row r="98" customFormat="false" ht="15.65" hidden="false" customHeight="false" outlineLevel="0" collapsed="false">
      <c r="B98" s="10" t="s">
        <v>113</v>
      </c>
      <c r="C98" s="6" t="s">
        <v>114</v>
      </c>
      <c r="D98" s="56" t="n">
        <v>0.179208</v>
      </c>
      <c r="E98" s="24" t="n">
        <f aca="false">$E$32*D98</f>
        <v>552.66002430912</v>
      </c>
    </row>
    <row r="99" customFormat="false" ht="15.65" hidden="false" customHeight="false" outlineLevel="0" collapsed="false">
      <c r="B99" s="10" t="s">
        <v>115</v>
      </c>
      <c r="C99" s="6" t="s">
        <v>100</v>
      </c>
      <c r="D99" s="56"/>
      <c r="E99" s="24"/>
    </row>
    <row r="100" customFormat="false" ht="15.25" hidden="false" customHeight="false" outlineLevel="0" collapsed="false">
      <c r="B100" s="20" t="s">
        <v>73</v>
      </c>
      <c r="C100" s="20"/>
      <c r="D100" s="57" t="n">
        <v>0.7370784</v>
      </c>
      <c r="E100" s="21" t="n">
        <f aca="false">$E$32*D100</f>
        <v>2273.07802364698</v>
      </c>
    </row>
    <row r="101" customFormat="false" ht="15.65" hidden="false" customHeight="false" outlineLevel="0" collapsed="false">
      <c r="B101" s="2" t="s">
        <v>116</v>
      </c>
      <c r="C101" s="2"/>
      <c r="D101" s="2"/>
      <c r="E101" s="2"/>
    </row>
    <row r="102" customFormat="false" ht="15.25" hidden="false" customHeight="false" outlineLevel="0" collapsed="false">
      <c r="B102" s="2" t="n">
        <v>5</v>
      </c>
      <c r="C102" s="2" t="s">
        <v>117</v>
      </c>
      <c r="D102" s="10" t="s">
        <v>31</v>
      </c>
      <c r="E102" s="2" t="s">
        <v>32</v>
      </c>
    </row>
    <row r="103" customFormat="false" ht="15.25" hidden="false" customHeight="false" outlineLevel="0" collapsed="false">
      <c r="B103" s="10" t="s">
        <v>6</v>
      </c>
      <c r="C103" s="59" t="s">
        <v>118</v>
      </c>
      <c r="D103" s="38" t="n">
        <v>0.06</v>
      </c>
      <c r="E103" s="33" t="n">
        <f aca="false">E122*D103</f>
        <v>377.090736336676</v>
      </c>
    </row>
    <row r="104" customFormat="false" ht="15.25" hidden="false" customHeight="false" outlineLevel="0" collapsed="false">
      <c r="B104" s="10" t="s">
        <v>8</v>
      </c>
      <c r="C104" s="59" t="s">
        <v>119</v>
      </c>
      <c r="D104" s="38" t="n">
        <v>0.0679</v>
      </c>
      <c r="E104" s="33" t="n">
        <f aca="false">(E122+E103)*D104</f>
        <v>452.345477618265</v>
      </c>
    </row>
    <row r="105" customFormat="false" ht="15.25" hidden="false" customHeight="false" outlineLevel="0" collapsed="false">
      <c r="B105" s="10" t="s">
        <v>11</v>
      </c>
      <c r="C105" s="59" t="s">
        <v>120</v>
      </c>
      <c r="D105" s="6"/>
      <c r="E105" s="6"/>
    </row>
    <row r="106" customFormat="false" ht="15.65" hidden="false" customHeight="false" outlineLevel="0" collapsed="false">
      <c r="B106" s="60" t="s">
        <v>121</v>
      </c>
      <c r="C106" s="6" t="s">
        <v>122</v>
      </c>
      <c r="D106" s="61" t="n">
        <v>3</v>
      </c>
      <c r="E106" s="62" t="n">
        <f aca="false">E124*D106/100</f>
        <v>233.638154993964</v>
      </c>
    </row>
    <row r="107" customFormat="false" ht="15.65" hidden="false" customHeight="false" outlineLevel="0" collapsed="false">
      <c r="B107" s="60"/>
      <c r="C107" s="6" t="s">
        <v>123</v>
      </c>
      <c r="D107" s="61" t="n">
        <v>0.65</v>
      </c>
      <c r="E107" s="62" t="n">
        <f aca="false">E124*D107/100</f>
        <v>50.6216002486922</v>
      </c>
    </row>
    <row r="108" customFormat="false" ht="15.25" hidden="false" customHeight="false" outlineLevel="0" collapsed="false">
      <c r="B108" s="60" t="s">
        <v>124</v>
      </c>
      <c r="C108" s="6" t="s">
        <v>125</v>
      </c>
      <c r="D108" s="61"/>
      <c r="E108" s="62"/>
    </row>
    <row r="109" customFormat="false" ht="15.65" hidden="false" customHeight="false" outlineLevel="0" collapsed="false">
      <c r="B109" s="60" t="s">
        <v>126</v>
      </c>
      <c r="C109" s="6" t="s">
        <v>127</v>
      </c>
      <c r="D109" s="61" t="n">
        <v>5</v>
      </c>
      <c r="E109" s="62" t="n">
        <f aca="false">E124*D109/100</f>
        <v>389.39692498994</v>
      </c>
    </row>
    <row r="110" customFormat="false" ht="15.25" hidden="false" customHeight="false" outlineLevel="0" collapsed="false">
      <c r="B110" s="60" t="s">
        <v>128</v>
      </c>
      <c r="C110" s="6" t="s">
        <v>129</v>
      </c>
      <c r="D110" s="38"/>
      <c r="E110" s="62"/>
    </row>
    <row r="112" customFormat="false" ht="15.25" hidden="false" customHeight="false" outlineLevel="0" collapsed="false">
      <c r="B112" s="20" t="s">
        <v>130</v>
      </c>
      <c r="C112" s="20"/>
      <c r="D112" s="2" t="n">
        <v>11.25</v>
      </c>
      <c r="E112" s="33" t="n">
        <f aca="false">SUM(E103:E109)</f>
        <v>1503.09289418754</v>
      </c>
    </row>
    <row r="113" customFormat="false" ht="17.25" hidden="false" customHeight="true" outlineLevel="0" collapsed="false">
      <c r="B113" s="65" t="s">
        <v>131</v>
      </c>
      <c r="C113" s="65"/>
      <c r="D113" s="66" t="n">
        <f aca="false">(1-(D106+D107+D109)/100)</f>
        <v>0.9135</v>
      </c>
      <c r="E113" s="67"/>
    </row>
    <row r="114" customFormat="false" ht="23.9" hidden="false" customHeight="true" outlineLevel="0" collapsed="false">
      <c r="B114" s="65"/>
      <c r="C114" s="65"/>
      <c r="D114" s="68" t="n">
        <f aca="false">(E122+E103+E104)/D113</f>
        <v>7787.9384997988</v>
      </c>
      <c r="E114" s="69"/>
    </row>
    <row r="115" customFormat="false" ht="17.25" hidden="false" customHeight="true" outlineLevel="0" collapsed="false">
      <c r="B115" s="4" t="s">
        <v>132</v>
      </c>
      <c r="C115" s="4"/>
      <c r="D115" s="33"/>
      <c r="E115" s="71"/>
    </row>
    <row r="116" customFormat="false" ht="17.25" hidden="false" customHeight="true" outlineLevel="0" collapsed="false">
      <c r="B116" s="2" t="s">
        <v>133</v>
      </c>
      <c r="C116" s="2"/>
      <c r="D116" s="2"/>
      <c r="E116" s="2"/>
    </row>
    <row r="117" customFormat="false" ht="57.4" hidden="false" customHeight="true" outlineLevel="0" collapsed="false">
      <c r="B117" s="2"/>
      <c r="C117" s="14" t="s">
        <v>134</v>
      </c>
      <c r="D117" s="14"/>
      <c r="E117" s="2" t="s">
        <v>32</v>
      </c>
    </row>
    <row r="118" customFormat="false" ht="15.65" hidden="false" customHeight="false" outlineLevel="0" collapsed="false">
      <c r="B118" s="10" t="s">
        <v>6</v>
      </c>
      <c r="C118" s="34" t="s">
        <v>135</v>
      </c>
      <c r="D118" s="34"/>
      <c r="E118" s="71" t="n">
        <f aca="false">E32</f>
        <v>3083.90264</v>
      </c>
    </row>
    <row r="119" customFormat="false" ht="17.25" hidden="false" customHeight="true" outlineLevel="0" collapsed="false">
      <c r="B119" s="10" t="s">
        <v>8</v>
      </c>
      <c r="C119" s="34" t="s">
        <v>136</v>
      </c>
      <c r="D119" s="34"/>
      <c r="E119" s="23" t="n">
        <f aca="false">E41</f>
        <v>599.625952380952</v>
      </c>
    </row>
    <row r="120" customFormat="false" ht="15.65" hidden="false" customHeight="false" outlineLevel="0" collapsed="false">
      <c r="B120" s="10" t="s">
        <v>11</v>
      </c>
      <c r="C120" s="34" t="s">
        <v>137</v>
      </c>
      <c r="D120" s="34"/>
      <c r="E120" s="71" t="n">
        <f aca="false">E49</f>
        <v>328.238989583333</v>
      </c>
    </row>
    <row r="121" customFormat="false" ht="15.65" hidden="false" customHeight="false" outlineLevel="0" collapsed="false">
      <c r="B121" s="10" t="s">
        <v>14</v>
      </c>
      <c r="C121" s="34" t="s">
        <v>138</v>
      </c>
      <c r="D121" s="34"/>
      <c r="E121" s="23" t="n">
        <f aca="false">E100</f>
        <v>2273.07802364698</v>
      </c>
    </row>
    <row r="122" customFormat="false" ht="15.25" hidden="false" customHeight="false" outlineLevel="0" collapsed="false">
      <c r="B122" s="20" t="s">
        <v>139</v>
      </c>
      <c r="C122" s="20"/>
      <c r="D122" s="20"/>
      <c r="E122" s="72" t="n">
        <f aca="false">SUM(E118:E121)</f>
        <v>6284.84560561126</v>
      </c>
    </row>
    <row r="123" customFormat="false" ht="15.25" hidden="false" customHeight="false" outlineLevel="0" collapsed="false">
      <c r="B123" s="10" t="s">
        <v>37</v>
      </c>
      <c r="C123" s="2" t="s">
        <v>140</v>
      </c>
      <c r="D123" s="2"/>
      <c r="E123" s="23" t="n">
        <f aca="false">E112</f>
        <v>1503.09289418754</v>
      </c>
    </row>
    <row r="124" customFormat="false" ht="15.65" hidden="false" customHeight="false" outlineLevel="0" collapsed="false">
      <c r="B124" s="2" t="s">
        <v>141</v>
      </c>
      <c r="C124" s="2"/>
      <c r="D124" s="2"/>
      <c r="E124" s="73" t="n">
        <f aca="false">(E122+E103+E104)/(1-(D106+D107+D109)/100)</f>
        <v>7787.9384997988</v>
      </c>
    </row>
    <row r="125" customFormat="false" ht="15.65" hidden="false" customHeight="false" outlineLevel="0" collapsed="false">
      <c r="B125" s="2" t="s">
        <v>142</v>
      </c>
      <c r="C125" s="2"/>
      <c r="D125" s="2"/>
      <c r="E125" s="73" t="n">
        <f aca="false">E124*2</f>
        <v>15575.8769995976</v>
      </c>
    </row>
  </sheetData>
  <mergeCells count="58">
    <mergeCell ref="B3:E5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B24:E24"/>
    <mergeCell ref="B32:D32"/>
    <mergeCell ref="B33:E33"/>
    <mergeCell ref="B41:D41"/>
    <mergeCell ref="B42:E42"/>
    <mergeCell ref="B49:D49"/>
    <mergeCell ref="B50:E50"/>
    <mergeCell ref="B51:E51"/>
    <mergeCell ref="B61:C61"/>
    <mergeCell ref="B62:E62"/>
    <mergeCell ref="B66:C66"/>
    <mergeCell ref="B67:E67"/>
    <mergeCell ref="B71:C71"/>
    <mergeCell ref="B72:E72"/>
    <mergeCell ref="B80:C80"/>
    <mergeCell ref="B81:E81"/>
    <mergeCell ref="B89:C89"/>
    <mergeCell ref="B91:C91"/>
    <mergeCell ref="B92:E92"/>
    <mergeCell ref="B100:C100"/>
    <mergeCell ref="B101:E101"/>
    <mergeCell ref="B106:B107"/>
    <mergeCell ref="B112:C112"/>
    <mergeCell ref="B113:C114"/>
    <mergeCell ref="B115:C115"/>
    <mergeCell ref="B116:E116"/>
    <mergeCell ref="C117:D117"/>
    <mergeCell ref="C118:D118"/>
    <mergeCell ref="C119:D119"/>
    <mergeCell ref="C120:D120"/>
    <mergeCell ref="C121:D121"/>
    <mergeCell ref="B122:D122"/>
    <mergeCell ref="C123:D123"/>
    <mergeCell ref="B124:D124"/>
    <mergeCell ref="B125:D1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E124"/>
  <sheetViews>
    <sheetView windowProtection="false" showFormulas="false" showGridLines="true" showRowColHeaders="true" showZeros="true" rightToLeft="false" tabSelected="false" showOutlineSymbols="true" defaultGridColor="true" view="normal" topLeftCell="A28" colorId="64" zoomScale="75" zoomScaleNormal="75" zoomScalePageLayoutView="100" workbookViewId="0">
      <selection pane="topLeft" activeCell="E35" activeCellId="0" sqref="E35"/>
    </sheetView>
  </sheetViews>
  <sheetFormatPr defaultRowHeight="14.05"/>
  <cols>
    <col collapsed="false" hidden="false" max="2" min="1" style="0" width="10.5023255813953"/>
    <col collapsed="false" hidden="false" max="3" min="3" style="0" width="54.0418604651163"/>
    <col collapsed="false" hidden="false" max="4" min="4" style="0" width="14.5116279069767"/>
    <col collapsed="false" hidden="false" max="5" min="5" style="0" width="19.9860465116279"/>
    <col collapsed="false" hidden="false" max="1025" min="6" style="0" width="10.5023255813953"/>
  </cols>
  <sheetData>
    <row r="3" customFormat="false" ht="14.05" hidden="false" customHeight="false" outlineLevel="0" collapsed="false">
      <c r="B3" s="2" t="s">
        <v>0</v>
      </c>
      <c r="C3" s="2"/>
      <c r="D3" s="2"/>
      <c r="E3" s="2"/>
    </row>
    <row r="4" customFormat="false" ht="14.05" hidden="false" customHeight="false" outlineLevel="0" collapsed="false">
      <c r="B4" s="2"/>
      <c r="C4" s="2"/>
      <c r="D4" s="2"/>
      <c r="E4" s="2"/>
    </row>
    <row r="5" customFormat="false" ht="9.55" hidden="false" customHeight="true" outlineLevel="0" collapsed="false">
      <c r="B5" s="2"/>
      <c r="C5" s="2"/>
      <c r="D5" s="2"/>
      <c r="E5" s="2"/>
    </row>
    <row r="6" customFormat="false" ht="15.25" hidden="false" customHeight="false" outlineLevel="0" collapsed="false">
      <c r="B6" s="4" t="s">
        <v>1</v>
      </c>
      <c r="C6" s="4"/>
      <c r="D6" s="5"/>
      <c r="E6" s="5"/>
    </row>
    <row r="7" customFormat="false" ht="15.25" hidden="false" customHeight="false" outlineLevel="0" collapsed="false">
      <c r="B7" s="4" t="s">
        <v>2</v>
      </c>
      <c r="C7" s="4"/>
      <c r="D7" s="5"/>
      <c r="E7" s="5"/>
    </row>
    <row r="8" customFormat="false" ht="15.25" hidden="false" customHeight="false" outlineLevel="0" collapsed="false">
      <c r="B8" s="4" t="s">
        <v>3</v>
      </c>
      <c r="C8" s="4"/>
      <c r="D8" s="5"/>
      <c r="E8" s="5"/>
    </row>
    <row r="9" customFormat="false" ht="15.25" hidden="false" customHeight="false" outlineLevel="0" collapsed="false">
      <c r="B9" s="4" t="s">
        <v>4</v>
      </c>
      <c r="C9" s="4"/>
      <c r="D9" s="5"/>
      <c r="E9" s="5"/>
    </row>
    <row r="10" customFormat="false" ht="15.25" hidden="false" customHeight="false" outlineLevel="0" collapsed="false">
      <c r="B10" s="2" t="s">
        <v>5</v>
      </c>
      <c r="C10" s="2"/>
      <c r="D10" s="2"/>
      <c r="E10" s="2"/>
    </row>
    <row r="11" customFormat="false" ht="15.25" hidden="false" customHeight="false" outlineLevel="0" collapsed="false">
      <c r="B11" s="6" t="s">
        <v>6</v>
      </c>
      <c r="C11" s="6" t="s">
        <v>7</v>
      </c>
      <c r="D11" s="5"/>
      <c r="E11" s="5"/>
    </row>
    <row r="12" customFormat="false" ht="15.25" hidden="false" customHeight="false" outlineLevel="0" collapsed="false">
      <c r="B12" s="6" t="s">
        <v>8</v>
      </c>
      <c r="C12" s="6" t="s">
        <v>9</v>
      </c>
      <c r="D12" s="2" t="s">
        <v>164</v>
      </c>
      <c r="E12" s="2"/>
    </row>
    <row r="13" customFormat="false" ht="24.85" hidden="false" customHeight="true" outlineLevel="0" collapsed="false">
      <c r="B13" s="6" t="s">
        <v>11</v>
      </c>
      <c r="C13" s="7" t="s">
        <v>12</v>
      </c>
      <c r="D13" s="2" t="s">
        <v>13</v>
      </c>
      <c r="E13" s="2"/>
    </row>
    <row r="14" customFormat="false" ht="15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</row>
    <row r="15" customFormat="false" ht="15.25" hidden="false" customHeight="false" outlineLevel="0" collapsed="false">
      <c r="B15" s="2" t="s">
        <v>16</v>
      </c>
      <c r="C15" s="2"/>
      <c r="D15" s="2"/>
      <c r="E15" s="2"/>
    </row>
    <row r="16" customFormat="false" ht="51.65" hidden="false" customHeight="true" outlineLevel="0" collapsed="false">
      <c r="B16" s="9" t="s">
        <v>17</v>
      </c>
      <c r="C16" s="9"/>
      <c r="D16" s="9" t="s">
        <v>18</v>
      </c>
      <c r="E16" s="9" t="s">
        <v>19</v>
      </c>
    </row>
    <row r="17" customFormat="false" ht="15.25" hidden="false" customHeight="false" outlineLevel="0" collapsed="false">
      <c r="B17" s="2" t="s">
        <v>20</v>
      </c>
      <c r="C17" s="2"/>
      <c r="D17" s="6" t="s">
        <v>21</v>
      </c>
      <c r="E17" s="2" t="n">
        <v>1</v>
      </c>
    </row>
    <row r="18" customFormat="false" ht="15.25" hidden="false" customHeight="false" outlineLevel="0" collapsed="false">
      <c r="B18" s="2" t="s">
        <v>22</v>
      </c>
      <c r="C18" s="2"/>
      <c r="D18" s="2"/>
      <c r="E18" s="2"/>
    </row>
    <row r="19" customFormat="false" ht="14.9" hidden="false" customHeight="false" outlineLevel="0" collapsed="false">
      <c r="B19" s="2" t="s">
        <v>23</v>
      </c>
      <c r="C19" s="2"/>
      <c r="D19" s="2"/>
      <c r="E19" s="2"/>
    </row>
    <row r="20" customFormat="false" ht="15.25" hidden="false" customHeight="false" outlineLevel="0" collapsed="false">
      <c r="B20" s="10" t="n">
        <v>1</v>
      </c>
      <c r="C20" s="6" t="s">
        <v>24</v>
      </c>
      <c r="D20" s="11" t="s">
        <v>165</v>
      </c>
      <c r="E20" s="11"/>
    </row>
    <row r="21" customFormat="false" ht="15.25" hidden="false" customHeight="false" outlineLevel="0" collapsed="false">
      <c r="B21" s="10" t="n">
        <v>2</v>
      </c>
      <c r="C21" s="6" t="s">
        <v>26</v>
      </c>
      <c r="D21" s="12" t="n">
        <v>1602.86</v>
      </c>
      <c r="E21" s="12"/>
    </row>
    <row r="22" customFormat="false" ht="15.25" hidden="false" customHeight="false" outlineLevel="0" collapsed="false">
      <c r="B22" s="10" t="n">
        <v>3</v>
      </c>
      <c r="C22" s="6" t="s">
        <v>27</v>
      </c>
      <c r="D22" s="11" t="s">
        <v>165</v>
      </c>
      <c r="E22" s="11"/>
    </row>
    <row r="23" customFormat="false" ht="15.25" hidden="false" customHeight="false" outlineLevel="0" collapsed="false">
      <c r="B23" s="10" t="n">
        <v>4</v>
      </c>
      <c r="C23" s="6" t="s">
        <v>28</v>
      </c>
      <c r="D23" s="13" t="n">
        <v>42736</v>
      </c>
      <c r="E23" s="13"/>
    </row>
    <row r="24" customFormat="false" ht="15.25" hidden="false" customHeight="false" outlineLevel="0" collapsed="false">
      <c r="B24" s="2" t="s">
        <v>29</v>
      </c>
      <c r="C24" s="2"/>
      <c r="D24" s="2"/>
      <c r="E24" s="2"/>
    </row>
    <row r="25" customFormat="false" ht="15.25" hidden="false" customHeight="false" outlineLevel="0" collapsed="false">
      <c r="B25" s="2" t="n">
        <v>1</v>
      </c>
      <c r="C25" s="2" t="s">
        <v>30</v>
      </c>
      <c r="D25" s="10" t="s">
        <v>31</v>
      </c>
      <c r="E25" s="14" t="s">
        <v>32</v>
      </c>
    </row>
    <row r="26" customFormat="false" ht="15.25" hidden="false" customHeight="false" outlineLevel="0" collapsed="false">
      <c r="B26" s="10" t="s">
        <v>6</v>
      </c>
      <c r="C26" s="6" t="s">
        <v>161</v>
      </c>
      <c r="D26" s="6"/>
      <c r="E26" s="15" t="n">
        <f aca="false">D21</f>
        <v>1602.86</v>
      </c>
    </row>
    <row r="27" customFormat="false" ht="15.25" hidden="false" customHeight="false" outlineLevel="0" collapsed="false">
      <c r="B27" s="10" t="s">
        <v>8</v>
      </c>
      <c r="C27" s="4" t="s">
        <v>166</v>
      </c>
      <c r="D27" s="17" t="n">
        <v>0.5</v>
      </c>
      <c r="E27" s="15" t="n">
        <f aca="false">E26*0.5</f>
        <v>801.43</v>
      </c>
    </row>
    <row r="28" customFormat="false" ht="15.25" hidden="false" customHeight="false" outlineLevel="0" collapsed="false">
      <c r="B28" s="10" t="s">
        <v>11</v>
      </c>
      <c r="C28" s="6" t="s">
        <v>34</v>
      </c>
      <c r="D28" s="17" t="n">
        <v>0.3</v>
      </c>
      <c r="E28" s="15" t="n">
        <f aca="false">E26*0.3</f>
        <v>480.858</v>
      </c>
    </row>
    <row r="29" customFormat="false" ht="15.25" hidden="false" customHeight="false" outlineLevel="0" collapsed="false">
      <c r="B29" s="10" t="s">
        <v>14</v>
      </c>
      <c r="C29" s="6" t="s">
        <v>167</v>
      </c>
      <c r="D29" s="17" t="n">
        <v>0.4</v>
      </c>
      <c r="E29" s="94" t="n">
        <f aca="false">(E26+E27+E28)/220*0.4*(1/52.5)*60*20</f>
        <v>119.902254545455</v>
      </c>
    </row>
    <row r="30" customFormat="false" ht="15.25" hidden="false" customHeight="false" outlineLevel="0" collapsed="false">
      <c r="B30" s="10" t="s">
        <v>37</v>
      </c>
      <c r="C30" s="6" t="s">
        <v>40</v>
      </c>
      <c r="D30" s="19"/>
      <c r="E30" s="15" t="n">
        <f aca="false">E29*5/25</f>
        <v>23.9804509090909</v>
      </c>
    </row>
    <row r="31" customFormat="false" ht="15.25" hidden="false" customHeight="false" outlineLevel="0" collapsed="false">
      <c r="B31" s="20" t="s">
        <v>41</v>
      </c>
      <c r="C31" s="20"/>
      <c r="D31" s="20"/>
      <c r="E31" s="21" t="n">
        <f aca="false">SUM(E26:E30)</f>
        <v>3029.03070545455</v>
      </c>
    </row>
    <row r="32" customFormat="false" ht="15.25" hidden="false" customHeight="false" outlineLevel="0" collapsed="false">
      <c r="B32" s="2" t="s">
        <v>42</v>
      </c>
      <c r="C32" s="2"/>
      <c r="D32" s="2"/>
      <c r="E32" s="2"/>
    </row>
    <row r="33" customFormat="false" ht="15.25" hidden="false" customHeight="false" outlineLevel="0" collapsed="false">
      <c r="B33" s="2" t="n">
        <v>2</v>
      </c>
      <c r="C33" s="2" t="s">
        <v>43</v>
      </c>
      <c r="D33" s="10"/>
      <c r="E33" s="2" t="s">
        <v>32</v>
      </c>
    </row>
    <row r="34" customFormat="false" ht="15.25" hidden="false" customHeight="false" outlineLevel="0" collapsed="false">
      <c r="B34" s="10" t="s">
        <v>6</v>
      </c>
      <c r="C34" s="6" t="s">
        <v>44</v>
      </c>
      <c r="D34" s="23"/>
      <c r="E34" s="92"/>
    </row>
    <row r="35" customFormat="false" ht="15.9" hidden="false" customHeight="false" outlineLevel="0" collapsed="false">
      <c r="B35" s="10" t="s">
        <v>8</v>
      </c>
      <c r="C35" s="6" t="s">
        <v>45</v>
      </c>
      <c r="D35" s="23" t="n">
        <v>15.99</v>
      </c>
      <c r="E35" s="24" t="n">
        <f aca="false">D35*0.9*22</f>
        <v>316.602</v>
      </c>
    </row>
    <row r="36" customFormat="false" ht="15.25" hidden="false" customHeight="false" outlineLevel="0" collapsed="false">
      <c r="B36" s="10" t="s">
        <v>11</v>
      </c>
      <c r="C36" s="6" t="s">
        <v>46</v>
      </c>
      <c r="D36" s="23"/>
      <c r="E36" s="23" t="n">
        <v>112.9</v>
      </c>
    </row>
    <row r="37" customFormat="false" ht="15.25" hidden="false" customHeight="false" outlineLevel="0" collapsed="false">
      <c r="B37" s="10" t="s">
        <v>14</v>
      </c>
      <c r="C37" s="6" t="s">
        <v>47</v>
      </c>
      <c r="D37" s="6"/>
      <c r="E37" s="23" t="n">
        <v>91.08</v>
      </c>
    </row>
    <row r="38" customFormat="false" ht="15.25" hidden="false" customHeight="false" outlineLevel="0" collapsed="false">
      <c r="B38" s="10" t="s">
        <v>37</v>
      </c>
      <c r="C38" s="6" t="s">
        <v>48</v>
      </c>
      <c r="D38" s="23"/>
      <c r="E38" s="23" t="n">
        <f aca="false">'Média Insumos e benefícios'!E28</f>
        <v>19.0666666666667</v>
      </c>
    </row>
    <row r="39" customFormat="false" ht="15.25" hidden="false" customHeight="false" outlineLevel="0" collapsed="false">
      <c r="B39" s="10" t="s">
        <v>39</v>
      </c>
      <c r="C39" s="6" t="s">
        <v>49</v>
      </c>
      <c r="D39" s="23"/>
      <c r="E39" s="23"/>
    </row>
    <row r="40" customFormat="false" ht="15.25" hidden="false" customHeight="false" outlineLevel="0" collapsed="false">
      <c r="B40" s="20" t="s">
        <v>50</v>
      </c>
      <c r="C40" s="20"/>
      <c r="D40" s="20"/>
      <c r="E40" s="21" t="n">
        <f aca="false">SUM(E34:E39)</f>
        <v>539.648666666667</v>
      </c>
    </row>
    <row r="41" customFormat="false" ht="15.9" hidden="false" customHeight="false" outlineLevel="0" collapsed="false">
      <c r="B41" s="2" t="s">
        <v>51</v>
      </c>
      <c r="C41" s="2"/>
      <c r="D41" s="2"/>
      <c r="E41" s="2"/>
    </row>
    <row r="42" customFormat="false" ht="15.25" hidden="false" customHeight="false" outlineLevel="0" collapsed="false">
      <c r="B42" s="2" t="n">
        <v>3</v>
      </c>
      <c r="C42" s="2" t="s">
        <v>52</v>
      </c>
      <c r="D42" s="10" t="s">
        <v>31</v>
      </c>
      <c r="E42" s="2" t="s">
        <v>32</v>
      </c>
    </row>
    <row r="43" customFormat="false" ht="15.9" hidden="false" customHeight="false" outlineLevel="0" collapsed="false">
      <c r="B43" s="10" t="s">
        <v>6</v>
      </c>
      <c r="C43" s="6" t="s">
        <v>53</v>
      </c>
      <c r="D43" s="6"/>
      <c r="E43" s="23" t="n">
        <f aca="false">'Equipamentos Supervisor'!H88</f>
        <v>349.891666666667</v>
      </c>
    </row>
    <row r="44" customFormat="false" ht="15.25" hidden="false" customHeight="false" outlineLevel="0" collapsed="false">
      <c r="B44" s="10" t="s">
        <v>8</v>
      </c>
      <c r="C44" s="6" t="s">
        <v>54</v>
      </c>
      <c r="D44" s="6"/>
      <c r="E44" s="23" t="n">
        <f aca="false">'Equipamentos Supervisor'!H86</f>
        <v>51.9775321637427</v>
      </c>
    </row>
    <row r="45" customFormat="false" ht="15.25" hidden="false" customHeight="false" outlineLevel="0" collapsed="false">
      <c r="B45" s="10" t="s">
        <v>11</v>
      </c>
      <c r="C45" s="6" t="s">
        <v>55</v>
      </c>
      <c r="D45" s="6"/>
      <c r="E45" s="23" t="n">
        <f aca="false">'Equipamentos Supervisor'!H84</f>
        <v>36.96</v>
      </c>
    </row>
    <row r="46" customFormat="false" ht="15.25" hidden="false" customHeight="false" outlineLevel="0" collapsed="false">
      <c r="B46" s="10" t="s">
        <v>14</v>
      </c>
      <c r="C46" s="6" t="s">
        <v>56</v>
      </c>
      <c r="D46" s="6"/>
      <c r="E46" s="23" t="n">
        <v>4</v>
      </c>
    </row>
    <row r="47" customFormat="false" ht="15.25" hidden="false" customHeight="false" outlineLevel="0" collapsed="false">
      <c r="B47" s="10" t="s">
        <v>37</v>
      </c>
      <c r="C47" s="6" t="s">
        <v>57</v>
      </c>
      <c r="D47" s="6"/>
      <c r="E47" s="23" t="n">
        <f aca="false">'Média Insumos e benefícios'!K28</f>
        <v>128.666666666667</v>
      </c>
    </row>
    <row r="48" customFormat="false" ht="15.25" hidden="false" customHeight="false" outlineLevel="0" collapsed="false">
      <c r="B48" s="20" t="s">
        <v>58</v>
      </c>
      <c r="C48" s="20"/>
      <c r="D48" s="20"/>
      <c r="E48" s="33" t="n">
        <f aca="false">SUM(E43:E47)</f>
        <v>571.495865497076</v>
      </c>
    </row>
    <row r="49" customFormat="false" ht="15.25" hidden="false" customHeight="false" outlineLevel="0" collapsed="false">
      <c r="B49" s="2" t="s">
        <v>59</v>
      </c>
      <c r="C49" s="2"/>
      <c r="D49" s="2"/>
      <c r="E49" s="2"/>
    </row>
    <row r="50" customFormat="false" ht="15.25" hidden="false" customHeight="false" outlineLevel="0" collapsed="false">
      <c r="B50" s="34" t="s">
        <v>60</v>
      </c>
      <c r="C50" s="34"/>
      <c r="D50" s="34"/>
      <c r="E50" s="34"/>
    </row>
    <row r="51" customFormat="false" ht="15.25" hidden="false" customHeight="false" outlineLevel="0" collapsed="false">
      <c r="B51" s="2" t="s">
        <v>61</v>
      </c>
      <c r="C51" s="2" t="s">
        <v>62</v>
      </c>
      <c r="D51" s="10" t="s">
        <v>31</v>
      </c>
      <c r="E51" s="2" t="s">
        <v>32</v>
      </c>
    </row>
    <row r="52" customFormat="false" ht="15.25" hidden="false" customHeight="false" outlineLevel="0" collapsed="false">
      <c r="B52" s="10" t="s">
        <v>6</v>
      </c>
      <c r="C52" s="6" t="s">
        <v>63</v>
      </c>
      <c r="D52" s="35" t="n">
        <v>0.2</v>
      </c>
      <c r="E52" s="24" t="n">
        <f aca="false">$E$31*D52</f>
        <v>605.806141090909</v>
      </c>
    </row>
    <row r="53" customFormat="false" ht="15.25" hidden="false" customHeight="false" outlineLevel="0" collapsed="false">
      <c r="B53" s="10" t="s">
        <v>8</v>
      </c>
      <c r="C53" s="6" t="s">
        <v>64</v>
      </c>
      <c r="D53" s="35" t="n">
        <v>0.015</v>
      </c>
      <c r="E53" s="24" t="n">
        <f aca="false">$E$31*D53</f>
        <v>45.4354605818182</v>
      </c>
    </row>
    <row r="54" customFormat="false" ht="15.25" hidden="false" customHeight="false" outlineLevel="0" collapsed="false">
      <c r="B54" s="10" t="s">
        <v>11</v>
      </c>
      <c r="C54" s="6" t="s">
        <v>65</v>
      </c>
      <c r="D54" s="35" t="n">
        <v>0.01</v>
      </c>
      <c r="E54" s="24" t="n">
        <f aca="false">$E$31*D54</f>
        <v>30.2903070545455</v>
      </c>
    </row>
    <row r="55" customFormat="false" ht="15.25" hidden="false" customHeight="false" outlineLevel="0" collapsed="false">
      <c r="B55" s="10" t="s">
        <v>14</v>
      </c>
      <c r="C55" s="6" t="s">
        <v>66</v>
      </c>
      <c r="D55" s="35" t="n">
        <v>0.002</v>
      </c>
      <c r="E55" s="24" t="n">
        <f aca="false">$E$31*D55</f>
        <v>6.05806141090909</v>
      </c>
    </row>
    <row r="56" customFormat="false" ht="15.25" hidden="false" customHeight="false" outlineLevel="0" collapsed="false">
      <c r="B56" s="10" t="s">
        <v>37</v>
      </c>
      <c r="C56" s="6" t="s">
        <v>67</v>
      </c>
      <c r="D56" s="35" t="n">
        <v>0.025</v>
      </c>
      <c r="E56" s="24" t="n">
        <f aca="false">$E$31*D56</f>
        <v>75.7257676363636</v>
      </c>
    </row>
    <row r="57" customFormat="false" ht="15.25" hidden="false" customHeight="false" outlineLevel="0" collapsed="false">
      <c r="B57" s="10" t="s">
        <v>39</v>
      </c>
      <c r="C57" s="6" t="s">
        <v>68</v>
      </c>
      <c r="D57" s="35" t="n">
        <v>0.08</v>
      </c>
      <c r="E57" s="24" t="n">
        <f aca="false">$E$31*D57</f>
        <v>242.322456436364</v>
      </c>
    </row>
    <row r="58" customFormat="false" ht="15.25" hidden="false" customHeight="false" outlineLevel="0" collapsed="false">
      <c r="B58" s="10" t="s">
        <v>69</v>
      </c>
      <c r="C58" s="6" t="s">
        <v>70</v>
      </c>
      <c r="D58" s="35" t="n">
        <v>0.03</v>
      </c>
      <c r="E58" s="24" t="n">
        <f aca="false">$E$31*D58</f>
        <v>90.8709211636364</v>
      </c>
    </row>
    <row r="59" customFormat="false" ht="15.25" hidden="false" customHeight="false" outlineLevel="0" collapsed="false">
      <c r="B59" s="10" t="s">
        <v>71</v>
      </c>
      <c r="C59" s="6" t="s">
        <v>72</v>
      </c>
      <c r="D59" s="35" t="n">
        <v>0.006</v>
      </c>
      <c r="E59" s="24" t="n">
        <f aca="false">$E$31*D59</f>
        <v>18.1741842327273</v>
      </c>
    </row>
    <row r="60" customFormat="false" ht="15.25" hidden="false" customHeight="false" outlineLevel="0" collapsed="false">
      <c r="B60" s="20" t="s">
        <v>73</v>
      </c>
      <c r="C60" s="20"/>
      <c r="D60" s="38" t="n">
        <v>0.368</v>
      </c>
      <c r="E60" s="21" t="n">
        <f aca="false">$E$31*D60</f>
        <v>1114.68329960727</v>
      </c>
    </row>
    <row r="61" customFormat="false" ht="15.25" hidden="false" customHeight="false" outlineLevel="0" collapsed="false">
      <c r="B61" s="34" t="s">
        <v>74</v>
      </c>
      <c r="C61" s="34"/>
      <c r="D61" s="34"/>
      <c r="E61" s="34"/>
    </row>
    <row r="62" customFormat="false" ht="15.65" hidden="false" customHeight="false" outlineLevel="0" collapsed="false">
      <c r="B62" s="2" t="s">
        <v>75</v>
      </c>
      <c r="C62" s="34" t="s">
        <v>76</v>
      </c>
      <c r="D62" s="10" t="s">
        <v>31</v>
      </c>
      <c r="E62" s="2" t="s">
        <v>32</v>
      </c>
    </row>
    <row r="63" customFormat="false" ht="15.25" hidden="false" customHeight="false" outlineLevel="0" collapsed="false">
      <c r="B63" s="10" t="s">
        <v>6</v>
      </c>
      <c r="C63" s="6" t="s">
        <v>77</v>
      </c>
      <c r="D63" s="41" t="n">
        <v>0.0833</v>
      </c>
      <c r="E63" s="24" t="n">
        <f aca="false">$E$31*D63</f>
        <v>252.318257764364</v>
      </c>
    </row>
    <row r="64" customFormat="false" ht="22.95" hidden="false" customHeight="true" outlineLevel="0" collapsed="false">
      <c r="B64" s="10" t="s">
        <v>8</v>
      </c>
      <c r="C64" s="7" t="s">
        <v>78</v>
      </c>
      <c r="D64" s="41" t="n">
        <f aca="false">D63*D60</f>
        <v>0.0306544</v>
      </c>
      <c r="E64" s="24" t="n">
        <f aca="false">$E$31*D64</f>
        <v>92.8531188572858</v>
      </c>
    </row>
    <row r="65" customFormat="false" ht="15.25" hidden="false" customHeight="false" outlineLevel="0" collapsed="false">
      <c r="B65" s="20" t="s">
        <v>73</v>
      </c>
      <c r="C65" s="20"/>
      <c r="D65" s="41" t="n">
        <v>0.1139544</v>
      </c>
      <c r="E65" s="21" t="n">
        <f aca="false">$E$31*D65</f>
        <v>345.171376621649</v>
      </c>
    </row>
    <row r="66" customFormat="false" ht="15.25" hidden="false" customHeight="false" outlineLevel="0" collapsed="false">
      <c r="B66" s="34" t="s">
        <v>79</v>
      </c>
      <c r="C66" s="34"/>
      <c r="D66" s="34"/>
      <c r="E66" s="34"/>
    </row>
    <row r="67" customFormat="false" ht="15.25" hidden="false" customHeight="false" outlineLevel="0" collapsed="false">
      <c r="B67" s="2" t="s">
        <v>80</v>
      </c>
      <c r="C67" s="2" t="s">
        <v>81</v>
      </c>
      <c r="D67" s="10" t="s">
        <v>31</v>
      </c>
      <c r="E67" s="2" t="s">
        <v>32</v>
      </c>
    </row>
    <row r="68" customFormat="false" ht="15.25" hidden="false" customHeight="false" outlineLevel="0" collapsed="false">
      <c r="B68" s="10" t="s">
        <v>6</v>
      </c>
      <c r="C68" s="6" t="s">
        <v>81</v>
      </c>
      <c r="D68" s="44" t="n">
        <v>0.00074</v>
      </c>
      <c r="E68" s="24" t="n">
        <f aca="false">$E$31*D68</f>
        <v>2.24148272203636</v>
      </c>
    </row>
    <row r="69" customFormat="false" ht="18.15" hidden="false" customHeight="true" outlineLevel="0" collapsed="false">
      <c r="B69" s="10" t="s">
        <v>8</v>
      </c>
      <c r="C69" s="7" t="s">
        <v>82</v>
      </c>
      <c r="D69" s="44" t="n">
        <f aca="false">D68*D60</f>
        <v>0.00027232</v>
      </c>
      <c r="E69" s="24" t="n">
        <f aca="false">$E$31*D69</f>
        <v>0.824865641709382</v>
      </c>
    </row>
    <row r="70" customFormat="false" ht="15.25" hidden="false" customHeight="false" outlineLevel="0" collapsed="false">
      <c r="B70" s="20" t="s">
        <v>73</v>
      </c>
      <c r="C70" s="20"/>
      <c r="D70" s="46" t="n">
        <v>0.00104</v>
      </c>
      <c r="E70" s="21" t="n">
        <f aca="false">$E$31*D70</f>
        <v>3.15019193367273</v>
      </c>
    </row>
    <row r="71" customFormat="false" ht="15.25" hidden="false" customHeight="false" outlineLevel="0" collapsed="false">
      <c r="B71" s="34" t="s">
        <v>83</v>
      </c>
      <c r="C71" s="34"/>
      <c r="D71" s="34"/>
      <c r="E71" s="34"/>
    </row>
    <row r="72" customFormat="false" ht="15.25" hidden="false" customHeight="false" outlineLevel="0" collapsed="false">
      <c r="B72" s="2" t="s">
        <v>84</v>
      </c>
      <c r="C72" s="2" t="s">
        <v>85</v>
      </c>
      <c r="D72" s="10" t="s">
        <v>31</v>
      </c>
      <c r="E72" s="2" t="s">
        <v>32</v>
      </c>
    </row>
    <row r="73" customFormat="false" ht="15.25" hidden="false" customHeight="false" outlineLevel="0" collapsed="false">
      <c r="B73" s="10" t="s">
        <v>6</v>
      </c>
      <c r="C73" s="6" t="s">
        <v>86</v>
      </c>
      <c r="D73" s="41" t="n">
        <v>0.00416666666666667</v>
      </c>
      <c r="E73" s="24" t="n">
        <f aca="false">$E$31*D73</f>
        <v>12.6209612727273</v>
      </c>
    </row>
    <row r="74" customFormat="false" ht="21" hidden="false" customHeight="true" outlineLevel="0" collapsed="false">
      <c r="B74" s="10" t="s">
        <v>8</v>
      </c>
      <c r="C74" s="7" t="s">
        <v>87</v>
      </c>
      <c r="D74" s="41" t="n">
        <v>0.000333333333333333</v>
      </c>
      <c r="E74" s="24" t="n">
        <f aca="false">$E$31*D74</f>
        <v>1.00967690181818</v>
      </c>
    </row>
    <row r="75" customFormat="false" ht="15.25" hidden="false" customHeight="false" outlineLevel="0" collapsed="false">
      <c r="B75" s="10" t="s">
        <v>11</v>
      </c>
      <c r="C75" s="6" t="s">
        <v>88</v>
      </c>
      <c r="D75" s="41" t="n">
        <v>0.043</v>
      </c>
      <c r="E75" s="24" t="n">
        <f aca="false">$E$31*D75</f>
        <v>130.248320334545</v>
      </c>
    </row>
    <row r="76" customFormat="false" ht="15.25" hidden="false" customHeight="false" outlineLevel="0" collapsed="false">
      <c r="B76" s="10" t="s">
        <v>14</v>
      </c>
      <c r="C76" s="6" t="s">
        <v>89</v>
      </c>
      <c r="D76" s="47" t="n">
        <v>0.0194444444444444</v>
      </c>
      <c r="E76" s="24" t="n">
        <f aca="false">$E$31*D76</f>
        <v>58.8978192727271</v>
      </c>
    </row>
    <row r="77" customFormat="false" ht="16.25" hidden="false" customHeight="true" outlineLevel="0" collapsed="false">
      <c r="B77" s="10" t="s">
        <v>37</v>
      </c>
      <c r="C77" s="7" t="s">
        <v>90</v>
      </c>
      <c r="D77" s="41" t="n">
        <v>0.00715555555555556</v>
      </c>
      <c r="E77" s="24" t="n">
        <f aca="false">$E$31*D77</f>
        <v>21.6743974923637</v>
      </c>
    </row>
    <row r="78" customFormat="false" ht="15.25" hidden="false" customHeight="false" outlineLevel="0" collapsed="false">
      <c r="B78" s="10" t="s">
        <v>39</v>
      </c>
      <c r="C78" s="6" t="s">
        <v>91</v>
      </c>
      <c r="D78" s="41" t="n">
        <v>0.000776</v>
      </c>
      <c r="E78" s="24" t="n">
        <f aca="false">$E$31*D78</f>
        <v>2.35052782743273</v>
      </c>
    </row>
    <row r="79" customFormat="false" ht="15.25" hidden="false" customHeight="false" outlineLevel="0" collapsed="false">
      <c r="B79" s="20" t="s">
        <v>73</v>
      </c>
      <c r="C79" s="20"/>
      <c r="D79" s="41" t="n">
        <v>0.074876</v>
      </c>
      <c r="E79" s="21" t="n">
        <f aca="false">$E$31*D79</f>
        <v>226.801703101615</v>
      </c>
    </row>
    <row r="80" customFormat="false" ht="15.25" hidden="false" customHeight="false" outlineLevel="0" collapsed="false">
      <c r="B80" s="34" t="s">
        <v>92</v>
      </c>
      <c r="C80" s="34"/>
      <c r="D80" s="34"/>
      <c r="E80" s="34"/>
    </row>
    <row r="81" customFormat="false" ht="19.1" hidden="false" customHeight="true" outlineLevel="0" collapsed="false">
      <c r="B81" s="2" t="s">
        <v>93</v>
      </c>
      <c r="C81" s="14" t="s">
        <v>94</v>
      </c>
      <c r="D81" s="48" t="s">
        <v>31</v>
      </c>
      <c r="E81" s="2" t="s">
        <v>32</v>
      </c>
    </row>
    <row r="82" customFormat="false" ht="15.25" hidden="false" customHeight="false" outlineLevel="0" collapsed="false">
      <c r="B82" s="10" t="s">
        <v>6</v>
      </c>
      <c r="C82" s="6" t="s">
        <v>95</v>
      </c>
      <c r="D82" s="49" t="n">
        <v>0.1111</v>
      </c>
      <c r="E82" s="24" t="n">
        <f aca="false">$E$31*D82</f>
        <v>336.525311376</v>
      </c>
    </row>
    <row r="83" customFormat="false" ht="15.25" hidden="false" customHeight="false" outlineLevel="0" collapsed="false">
      <c r="B83" s="10" t="s">
        <v>8</v>
      </c>
      <c r="C83" s="6" t="s">
        <v>96</v>
      </c>
      <c r="D83" s="49" t="n">
        <v>0.0166</v>
      </c>
      <c r="E83" s="24" t="n">
        <f aca="false">$E$31*D83</f>
        <v>50.2819097105455</v>
      </c>
    </row>
    <row r="84" customFormat="false" ht="15.25" hidden="false" customHeight="false" outlineLevel="0" collapsed="false">
      <c r="B84" s="10" t="s">
        <v>11</v>
      </c>
      <c r="C84" s="6" t="s">
        <v>97</v>
      </c>
      <c r="D84" s="49" t="n">
        <v>0.0002</v>
      </c>
      <c r="E84" s="24" t="n">
        <f aca="false">$E$31*D84</f>
        <v>0.605806141090909</v>
      </c>
    </row>
    <row r="85" customFormat="false" ht="15.25" hidden="false" customHeight="false" outlineLevel="0" collapsed="false">
      <c r="B85" s="10" t="s">
        <v>14</v>
      </c>
      <c r="C85" s="6" t="s">
        <v>98</v>
      </c>
      <c r="D85" s="49" t="n">
        <v>0.0028</v>
      </c>
      <c r="E85" s="24" t="n">
        <f aca="false">$E$31*D85</f>
        <v>8.48128597527273</v>
      </c>
    </row>
    <row r="86" customFormat="false" ht="15.25" hidden="false" customHeight="false" outlineLevel="0" collapsed="false">
      <c r="B86" s="10" t="s">
        <v>37</v>
      </c>
      <c r="C86" s="6" t="s">
        <v>99</v>
      </c>
      <c r="D86" s="49" t="n">
        <v>0.0003</v>
      </c>
      <c r="E86" s="24" t="n">
        <f aca="false">$E$31*D86</f>
        <v>0.908709211636364</v>
      </c>
    </row>
    <row r="87" customFormat="false" ht="15.25" hidden="false" customHeight="false" outlineLevel="0" collapsed="false">
      <c r="B87" s="10" t="s">
        <v>39</v>
      </c>
      <c r="C87" s="6" t="s">
        <v>100</v>
      </c>
      <c r="D87" s="49"/>
      <c r="E87" s="24" t="n">
        <v>0</v>
      </c>
    </row>
    <row r="88" customFormat="false" ht="15.25" hidden="false" customHeight="false" outlineLevel="0" collapsed="false">
      <c r="B88" s="34" t="s">
        <v>101</v>
      </c>
      <c r="C88" s="34"/>
      <c r="D88" s="53" t="n">
        <v>0.131</v>
      </c>
      <c r="E88" s="21" t="n">
        <f aca="false">$E$31*D88</f>
        <v>396.803022414545</v>
      </c>
    </row>
    <row r="89" customFormat="false" ht="22" hidden="false" customHeight="true" outlineLevel="0" collapsed="false">
      <c r="B89" s="10" t="s">
        <v>69</v>
      </c>
      <c r="C89" s="54" t="s">
        <v>102</v>
      </c>
      <c r="D89" s="49" t="n">
        <v>0.048208</v>
      </c>
      <c r="E89" s="24" t="n">
        <f aca="false">$E$31*D89</f>
        <v>146.023512248553</v>
      </c>
    </row>
    <row r="90" customFormat="false" ht="15.25" hidden="false" customHeight="false" outlineLevel="0" collapsed="false">
      <c r="B90" s="20" t="s">
        <v>73</v>
      </c>
      <c r="C90" s="20"/>
      <c r="D90" s="53" t="n">
        <v>0.179208</v>
      </c>
      <c r="E90" s="21" t="n">
        <f aca="false">$E$31*D90</f>
        <v>542.826534663098</v>
      </c>
    </row>
    <row r="91" customFormat="false" ht="30.6" hidden="false" customHeight="true" outlineLevel="0" collapsed="false">
      <c r="B91" s="14" t="s">
        <v>103</v>
      </c>
      <c r="C91" s="14"/>
      <c r="D91" s="14"/>
      <c r="E91" s="14"/>
    </row>
    <row r="92" customFormat="false" ht="15.25" hidden="false" customHeight="false" outlineLevel="0" collapsed="false">
      <c r="B92" s="2" t="n">
        <v>4</v>
      </c>
      <c r="C92" s="2" t="s">
        <v>104</v>
      </c>
      <c r="D92" s="10" t="s">
        <v>31</v>
      </c>
      <c r="E92" s="2" t="s">
        <v>32</v>
      </c>
    </row>
    <row r="93" customFormat="false" ht="15.65" hidden="false" customHeight="false" outlineLevel="0" collapsed="false">
      <c r="B93" s="10" t="s">
        <v>105</v>
      </c>
      <c r="C93" s="6" t="s">
        <v>106</v>
      </c>
      <c r="D93" s="56" t="n">
        <v>0.368</v>
      </c>
      <c r="E93" s="24" t="n">
        <f aca="false">$E$31*D93</f>
        <v>1114.68329960727</v>
      </c>
    </row>
    <row r="94" customFormat="false" ht="15.65" hidden="false" customHeight="false" outlineLevel="0" collapsed="false">
      <c r="B94" s="10" t="s">
        <v>107</v>
      </c>
      <c r="C94" s="6" t="s">
        <v>108</v>
      </c>
      <c r="D94" s="56" t="n">
        <v>0.1139544</v>
      </c>
      <c r="E94" s="24" t="n">
        <f aca="false">$E$31*D94</f>
        <v>345.171376621649</v>
      </c>
    </row>
    <row r="95" customFormat="false" ht="15.65" hidden="false" customHeight="false" outlineLevel="0" collapsed="false">
      <c r="B95" s="10" t="s">
        <v>109</v>
      </c>
      <c r="C95" s="6" t="s">
        <v>110</v>
      </c>
      <c r="D95" s="56" t="n">
        <v>0.00104</v>
      </c>
      <c r="E95" s="24" t="n">
        <f aca="false">$E$31*D95</f>
        <v>3.15019193367273</v>
      </c>
    </row>
    <row r="96" customFormat="false" ht="15.65" hidden="false" customHeight="false" outlineLevel="0" collapsed="false">
      <c r="B96" s="10" t="s">
        <v>111</v>
      </c>
      <c r="C96" s="6" t="s">
        <v>112</v>
      </c>
      <c r="D96" s="56" t="n">
        <v>0.074876</v>
      </c>
      <c r="E96" s="24" t="n">
        <f aca="false">$E$31*D96</f>
        <v>226.801703101615</v>
      </c>
    </row>
    <row r="97" customFormat="false" ht="15.65" hidden="false" customHeight="false" outlineLevel="0" collapsed="false">
      <c r="B97" s="10" t="s">
        <v>113</v>
      </c>
      <c r="C97" s="6" t="s">
        <v>114</v>
      </c>
      <c r="D97" s="56" t="n">
        <v>0.179208</v>
      </c>
      <c r="E97" s="24" t="n">
        <f aca="false">$E$31*D97</f>
        <v>542.826534663098</v>
      </c>
    </row>
    <row r="98" customFormat="false" ht="15.65" hidden="false" customHeight="false" outlineLevel="0" collapsed="false">
      <c r="B98" s="10" t="s">
        <v>115</v>
      </c>
      <c r="C98" s="6" t="s">
        <v>100</v>
      </c>
      <c r="D98" s="56"/>
      <c r="E98" s="24"/>
    </row>
    <row r="99" customFormat="false" ht="15.25" hidden="false" customHeight="false" outlineLevel="0" collapsed="false">
      <c r="B99" s="20" t="s">
        <v>73</v>
      </c>
      <c r="C99" s="20"/>
      <c r="D99" s="57" t="n">
        <v>0.7370784</v>
      </c>
      <c r="E99" s="21" t="n">
        <f aca="false">$E$31*D99</f>
        <v>2232.63310592731</v>
      </c>
    </row>
    <row r="100" customFormat="false" ht="15.65" hidden="false" customHeight="false" outlineLevel="0" collapsed="false">
      <c r="B100" s="2" t="s">
        <v>116</v>
      </c>
      <c r="C100" s="2"/>
      <c r="D100" s="2"/>
      <c r="E100" s="2"/>
    </row>
    <row r="101" customFormat="false" ht="15.25" hidden="false" customHeight="false" outlineLevel="0" collapsed="false">
      <c r="B101" s="2" t="n">
        <v>5</v>
      </c>
      <c r="C101" s="2" t="s">
        <v>117</v>
      </c>
      <c r="D101" s="10" t="s">
        <v>31</v>
      </c>
      <c r="E101" s="2" t="s">
        <v>32</v>
      </c>
    </row>
    <row r="102" customFormat="false" ht="15.25" hidden="false" customHeight="false" outlineLevel="0" collapsed="false">
      <c r="B102" s="10" t="s">
        <v>6</v>
      </c>
      <c r="C102" s="59" t="s">
        <v>118</v>
      </c>
      <c r="D102" s="38" t="n">
        <v>0.06</v>
      </c>
      <c r="E102" s="33" t="n">
        <f aca="false">E121*D102</f>
        <v>382.368500612736</v>
      </c>
    </row>
    <row r="103" customFormat="false" ht="15.25" hidden="false" customHeight="false" outlineLevel="0" collapsed="false">
      <c r="B103" s="10" t="s">
        <v>8</v>
      </c>
      <c r="C103" s="59" t="s">
        <v>119</v>
      </c>
      <c r="D103" s="38" t="n">
        <v>0.0679</v>
      </c>
      <c r="E103" s="33" t="n">
        <f aca="false">(E121+E102)*D103</f>
        <v>458.676507718351</v>
      </c>
    </row>
    <row r="104" customFormat="false" ht="15.25" hidden="false" customHeight="false" outlineLevel="0" collapsed="false">
      <c r="B104" s="10" t="s">
        <v>11</v>
      </c>
      <c r="C104" s="59" t="s">
        <v>120</v>
      </c>
      <c r="D104" s="6"/>
      <c r="E104" s="6"/>
    </row>
    <row r="105" customFormat="false" ht="15.65" hidden="false" customHeight="false" outlineLevel="0" collapsed="false">
      <c r="B105" s="60" t="s">
        <v>121</v>
      </c>
      <c r="C105" s="6" t="s">
        <v>122</v>
      </c>
      <c r="D105" s="61" t="n">
        <v>3</v>
      </c>
      <c r="E105" s="62" t="n">
        <f aca="false">E123*D105/100</f>
        <v>236.908156055063</v>
      </c>
    </row>
    <row r="106" customFormat="false" ht="15.65" hidden="false" customHeight="false" outlineLevel="0" collapsed="false">
      <c r="B106" s="60"/>
      <c r="C106" s="6" t="s">
        <v>123</v>
      </c>
      <c r="D106" s="61" t="n">
        <v>0.65</v>
      </c>
      <c r="E106" s="62" t="n">
        <f aca="false">E123*D106/100</f>
        <v>51.3301004785971</v>
      </c>
    </row>
    <row r="107" customFormat="false" ht="15.25" hidden="false" customHeight="false" outlineLevel="0" collapsed="false">
      <c r="B107" s="60" t="s">
        <v>124</v>
      </c>
      <c r="C107" s="6" t="s">
        <v>125</v>
      </c>
      <c r="D107" s="61"/>
      <c r="E107" s="62"/>
    </row>
    <row r="108" customFormat="false" ht="15.65" hidden="false" customHeight="false" outlineLevel="0" collapsed="false">
      <c r="B108" s="60" t="s">
        <v>126</v>
      </c>
      <c r="C108" s="6" t="s">
        <v>127</v>
      </c>
      <c r="D108" s="61" t="n">
        <v>5</v>
      </c>
      <c r="E108" s="62" t="n">
        <f aca="false">E123*D108/100</f>
        <v>394.846926758439</v>
      </c>
    </row>
    <row r="109" customFormat="false" ht="15.25" hidden="false" customHeight="false" outlineLevel="0" collapsed="false">
      <c r="B109" s="60" t="s">
        <v>128</v>
      </c>
      <c r="C109" s="6" t="s">
        <v>129</v>
      </c>
      <c r="D109" s="38"/>
      <c r="E109" s="62"/>
    </row>
    <row r="111" customFormat="false" ht="15.25" hidden="false" customHeight="false" outlineLevel="0" collapsed="false">
      <c r="B111" s="20" t="s">
        <v>130</v>
      </c>
      <c r="C111" s="20"/>
      <c r="D111" s="2" t="n">
        <v>11.25</v>
      </c>
      <c r="E111" s="33" t="n">
        <f aca="false">SUM(E102:E108)</f>
        <v>1524.13019162319</v>
      </c>
    </row>
    <row r="112" customFormat="false" ht="17.25" hidden="false" customHeight="true" outlineLevel="0" collapsed="false">
      <c r="B112" s="7" t="s">
        <v>131</v>
      </c>
      <c r="C112" s="7"/>
      <c r="D112" s="66" t="n">
        <f aca="false">(1-(D105+D106+D108)/100)</f>
        <v>0.9135</v>
      </c>
      <c r="E112" s="67"/>
    </row>
    <row r="113" customFormat="false" ht="15.25" hidden="false" customHeight="false" outlineLevel="0" collapsed="false">
      <c r="B113" s="7"/>
      <c r="C113" s="7"/>
      <c r="D113" s="68" t="n">
        <f aca="false">(E121+E102+E103)/D112</f>
        <v>7896.93853516878</v>
      </c>
      <c r="E113" s="69"/>
    </row>
    <row r="114" customFormat="false" ht="17.25" hidden="false" customHeight="true" outlineLevel="0" collapsed="false">
      <c r="B114" s="4" t="s">
        <v>132</v>
      </c>
      <c r="C114" s="4"/>
      <c r="D114" s="33"/>
      <c r="E114" s="71"/>
    </row>
    <row r="115" customFormat="false" ht="17.25" hidden="false" customHeight="true" outlineLevel="0" collapsed="false">
      <c r="B115" s="2" t="s">
        <v>133</v>
      </c>
      <c r="C115" s="2"/>
      <c r="D115" s="2"/>
      <c r="E115" s="2"/>
    </row>
    <row r="116" customFormat="false" ht="17.25" hidden="false" customHeight="true" outlineLevel="0" collapsed="false">
      <c r="B116" s="2"/>
      <c r="C116" s="14" t="s">
        <v>134</v>
      </c>
      <c r="D116" s="14"/>
      <c r="E116" s="2" t="s">
        <v>32</v>
      </c>
    </row>
    <row r="117" customFormat="false" ht="15.65" hidden="false" customHeight="false" outlineLevel="0" collapsed="false">
      <c r="B117" s="10" t="s">
        <v>6</v>
      </c>
      <c r="C117" s="34" t="s">
        <v>135</v>
      </c>
      <c r="D117" s="34"/>
      <c r="E117" s="71" t="n">
        <f aca="false">E31</f>
        <v>3029.03070545455</v>
      </c>
    </row>
    <row r="118" customFormat="false" ht="17.25" hidden="false" customHeight="true" outlineLevel="0" collapsed="false">
      <c r="B118" s="10" t="s">
        <v>8</v>
      </c>
      <c r="C118" s="34" t="s">
        <v>136</v>
      </c>
      <c r="D118" s="34"/>
      <c r="E118" s="23" t="n">
        <f aca="false">E40</f>
        <v>539.648666666667</v>
      </c>
    </row>
    <row r="119" customFormat="false" ht="15.65" hidden="false" customHeight="false" outlineLevel="0" collapsed="false">
      <c r="B119" s="10" t="s">
        <v>11</v>
      </c>
      <c r="C119" s="34" t="s">
        <v>137</v>
      </c>
      <c r="D119" s="34"/>
      <c r="E119" s="71" t="n">
        <f aca="false">E48</f>
        <v>571.495865497076</v>
      </c>
    </row>
    <row r="120" customFormat="false" ht="15.65" hidden="false" customHeight="false" outlineLevel="0" collapsed="false">
      <c r="B120" s="10" t="s">
        <v>14</v>
      </c>
      <c r="C120" s="34" t="s">
        <v>138</v>
      </c>
      <c r="D120" s="34"/>
      <c r="E120" s="23" t="n">
        <f aca="false">E99</f>
        <v>2232.63310592731</v>
      </c>
    </row>
    <row r="121" customFormat="false" ht="15.25" hidden="false" customHeight="false" outlineLevel="0" collapsed="false">
      <c r="B121" s="20" t="s">
        <v>139</v>
      </c>
      <c r="C121" s="20"/>
      <c r="D121" s="20"/>
      <c r="E121" s="72" t="n">
        <f aca="false">SUM(E117:E120)</f>
        <v>6372.8083435456</v>
      </c>
    </row>
    <row r="122" customFormat="false" ht="15.25" hidden="false" customHeight="false" outlineLevel="0" collapsed="false">
      <c r="B122" s="10" t="s">
        <v>37</v>
      </c>
      <c r="C122" s="2" t="s">
        <v>140</v>
      </c>
      <c r="D122" s="2"/>
      <c r="E122" s="23" t="n">
        <f aca="false">E111</f>
        <v>1524.13019162319</v>
      </c>
    </row>
    <row r="123" customFormat="false" ht="15.65" hidden="false" customHeight="false" outlineLevel="0" collapsed="false">
      <c r="B123" s="2" t="s">
        <v>141</v>
      </c>
      <c r="C123" s="2"/>
      <c r="D123" s="2"/>
      <c r="E123" s="73" t="n">
        <f aca="false">(E121+E102+E103)/(1-(D105+D106+D108)/100)</f>
        <v>7896.93853516878</v>
      </c>
    </row>
    <row r="124" customFormat="false" ht="15.65" hidden="false" customHeight="false" outlineLevel="0" collapsed="false">
      <c r="B124" s="2" t="s">
        <v>142</v>
      </c>
      <c r="C124" s="2"/>
      <c r="D124" s="2"/>
      <c r="E124" s="73" t="n">
        <f aca="false">E123*1</f>
        <v>7896.93853516878</v>
      </c>
    </row>
  </sheetData>
  <mergeCells count="58">
    <mergeCell ref="B3:E5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B24:E24"/>
    <mergeCell ref="B31:D31"/>
    <mergeCell ref="B32:E32"/>
    <mergeCell ref="B40:D40"/>
    <mergeCell ref="B41:E41"/>
    <mergeCell ref="B48:D48"/>
    <mergeCell ref="B49:E49"/>
    <mergeCell ref="B50:E50"/>
    <mergeCell ref="B60:C60"/>
    <mergeCell ref="B61:E61"/>
    <mergeCell ref="B65:C65"/>
    <mergeCell ref="B66:E66"/>
    <mergeCell ref="B70:C70"/>
    <mergeCell ref="B71:E71"/>
    <mergeCell ref="B79:C79"/>
    <mergeCell ref="B80:E80"/>
    <mergeCell ref="B88:C88"/>
    <mergeCell ref="B90:C90"/>
    <mergeCell ref="B91:E91"/>
    <mergeCell ref="B99:C99"/>
    <mergeCell ref="B100:E100"/>
    <mergeCell ref="B105:B106"/>
    <mergeCell ref="B111:C111"/>
    <mergeCell ref="B112:C113"/>
    <mergeCell ref="B114:C114"/>
    <mergeCell ref="B115:E115"/>
    <mergeCell ref="C116:D116"/>
    <mergeCell ref="C117:D117"/>
    <mergeCell ref="C118:D118"/>
    <mergeCell ref="C119:D119"/>
    <mergeCell ref="C120:D120"/>
    <mergeCell ref="B121:D121"/>
    <mergeCell ref="C122:D122"/>
    <mergeCell ref="B123:D123"/>
    <mergeCell ref="B124:D12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31" activeCellId="0" sqref="A31"/>
    </sheetView>
  </sheetViews>
  <sheetFormatPr defaultRowHeight="12.85"/>
  <cols>
    <col collapsed="false" hidden="false" max="4" min="1" style="0" width="10.5023255813953"/>
    <col collapsed="false" hidden="false" max="5" min="5" style="0" width="12.9116279069767"/>
    <col collapsed="false" hidden="false" max="10" min="6" style="0" width="10.5023255813953"/>
    <col collapsed="false" hidden="false" max="11" min="11" style="0" width="10.0651162790698"/>
    <col collapsed="false" hidden="false" max="1025" min="12" style="0" width="10.5023255813953"/>
  </cols>
  <sheetData>
    <row r="1" customFormat="false" ht="14.05" hidden="false" customHeight="false" outlineLevel="0" collapsed="false">
      <c r="A1" s="95" t="s">
        <v>168</v>
      </c>
      <c r="B1" s="95"/>
      <c r="C1" s="95"/>
      <c r="D1" s="95"/>
      <c r="E1" s="95"/>
      <c r="F1" s="95"/>
      <c r="G1" s="95" t="s">
        <v>169</v>
      </c>
      <c r="H1" s="95"/>
      <c r="I1" s="95"/>
      <c r="J1" s="95"/>
      <c r="K1" s="95"/>
      <c r="L1" s="95"/>
    </row>
    <row r="2" customFormat="false" ht="16.05" hidden="false" customHeight="false" outlineLevel="0" collapsed="false"/>
    <row r="3" customFormat="false" ht="16.05" hidden="false" customHeight="false" outlineLevel="0" collapsed="false">
      <c r="A3" s="96" t="s">
        <v>170</v>
      </c>
      <c r="B3" s="97" t="s">
        <v>171</v>
      </c>
      <c r="C3" s="97" t="s">
        <v>172</v>
      </c>
      <c r="D3" s="97" t="s">
        <v>173</v>
      </c>
      <c r="E3" s="97" t="s">
        <v>174</v>
      </c>
      <c r="G3" s="96" t="s">
        <v>170</v>
      </c>
      <c r="H3" s="97" t="s">
        <v>171</v>
      </c>
      <c r="I3" s="97" t="s">
        <v>172</v>
      </c>
      <c r="J3" s="97" t="s">
        <v>173</v>
      </c>
      <c r="K3" s="97" t="s">
        <v>174</v>
      </c>
    </row>
    <row r="4" customFormat="false" ht="16.05" hidden="false" customHeight="false" outlineLevel="0" collapsed="false">
      <c r="A4" s="96"/>
      <c r="B4" s="97" t="n">
        <v>21.22</v>
      </c>
      <c r="C4" s="97" t="n">
        <v>19.46</v>
      </c>
      <c r="D4" s="97" t="n">
        <v>16.52</v>
      </c>
      <c r="E4" s="98" t="n">
        <f aca="false">(B4+C4+D4)/3</f>
        <v>19.0666666666667</v>
      </c>
      <c r="G4" s="96"/>
      <c r="H4" s="98" t="n">
        <v>122</v>
      </c>
      <c r="I4" s="98" t="n">
        <v>102</v>
      </c>
      <c r="J4" s="98" t="n">
        <v>162</v>
      </c>
      <c r="K4" s="98" t="n">
        <f aca="false">(H4+I4+J4)/3</f>
        <v>128.666666666667</v>
      </c>
    </row>
    <row r="5" customFormat="false" ht="16.05" hidden="false" customHeight="false" outlineLevel="0" collapsed="false">
      <c r="A5" s="96" t="s">
        <v>175</v>
      </c>
      <c r="B5" s="97" t="s">
        <v>171</v>
      </c>
      <c r="C5" s="97" t="s">
        <v>172</v>
      </c>
      <c r="D5" s="97" t="s">
        <v>173</v>
      </c>
      <c r="E5" s="97" t="s">
        <v>174</v>
      </c>
      <c r="G5" s="96" t="s">
        <v>175</v>
      </c>
      <c r="H5" s="97" t="s">
        <v>171</v>
      </c>
      <c r="I5" s="97" t="s">
        <v>172</v>
      </c>
      <c r="J5" s="97" t="s">
        <v>173</v>
      </c>
      <c r="K5" s="97" t="s">
        <v>174</v>
      </c>
    </row>
    <row r="6" customFormat="false" ht="16.05" hidden="false" customHeight="false" outlineLevel="0" collapsed="false">
      <c r="A6" s="96"/>
      <c r="B6" s="97" t="n">
        <v>21.22</v>
      </c>
      <c r="C6" s="97" t="n">
        <v>19.46</v>
      </c>
      <c r="D6" s="97" t="n">
        <v>16.52</v>
      </c>
      <c r="E6" s="98" t="n">
        <f aca="false">(B6+C6+D6)/3</f>
        <v>19.0666666666667</v>
      </c>
      <c r="G6" s="96"/>
      <c r="H6" s="98" t="n">
        <v>122</v>
      </c>
      <c r="I6" s="98" t="n">
        <v>102</v>
      </c>
      <c r="J6" s="98" t="n">
        <v>162</v>
      </c>
      <c r="K6" s="98" t="n">
        <f aca="false">(H6+I6+J6)/3</f>
        <v>128.666666666667</v>
      </c>
    </row>
    <row r="7" customFormat="false" ht="16.05" hidden="false" customHeight="false" outlineLevel="0" collapsed="false">
      <c r="A7" s="96" t="s">
        <v>176</v>
      </c>
      <c r="B7" s="97" t="s">
        <v>171</v>
      </c>
      <c r="C7" s="97" t="s">
        <v>172</v>
      </c>
      <c r="D7" s="97" t="s">
        <v>173</v>
      </c>
      <c r="E7" s="97" t="s">
        <v>174</v>
      </c>
      <c r="G7" s="96" t="s">
        <v>176</v>
      </c>
      <c r="H7" s="97" t="s">
        <v>171</v>
      </c>
      <c r="I7" s="97" t="s">
        <v>172</v>
      </c>
      <c r="J7" s="97" t="s">
        <v>173</v>
      </c>
      <c r="K7" s="97" t="s">
        <v>174</v>
      </c>
    </row>
    <row r="8" customFormat="false" ht="16.05" hidden="false" customHeight="false" outlineLevel="0" collapsed="false">
      <c r="A8" s="96"/>
      <c r="B8" s="97" t="n">
        <v>21.22</v>
      </c>
      <c r="C8" s="97" t="n">
        <v>19.46</v>
      </c>
      <c r="D8" s="97" t="n">
        <v>16.52</v>
      </c>
      <c r="E8" s="98" t="n">
        <f aca="false">(B8+C8+D8)/3</f>
        <v>19.0666666666667</v>
      </c>
      <c r="G8" s="96"/>
      <c r="H8" s="98" t="n">
        <v>122</v>
      </c>
      <c r="I8" s="98" t="n">
        <v>102</v>
      </c>
      <c r="J8" s="98" t="n">
        <v>162</v>
      </c>
      <c r="K8" s="98" t="n">
        <f aca="false">(H8+I8+J8)/3</f>
        <v>128.666666666667</v>
      </c>
    </row>
    <row r="9" customFormat="false" ht="16.05" hidden="false" customHeight="false" outlineLevel="0" collapsed="false">
      <c r="A9" s="96" t="s">
        <v>177</v>
      </c>
      <c r="B9" s="97" t="s">
        <v>171</v>
      </c>
      <c r="C9" s="97" t="s">
        <v>172</v>
      </c>
      <c r="D9" s="97" t="s">
        <v>173</v>
      </c>
      <c r="E9" s="97" t="s">
        <v>174</v>
      </c>
      <c r="G9" s="96" t="s">
        <v>177</v>
      </c>
      <c r="H9" s="97" t="s">
        <v>171</v>
      </c>
      <c r="I9" s="97" t="s">
        <v>172</v>
      </c>
      <c r="J9" s="97" t="s">
        <v>173</v>
      </c>
      <c r="K9" s="97" t="s">
        <v>174</v>
      </c>
    </row>
    <row r="10" customFormat="false" ht="16.05" hidden="false" customHeight="false" outlineLevel="0" collapsed="false">
      <c r="A10" s="96"/>
      <c r="B10" s="97" t="n">
        <v>21.22</v>
      </c>
      <c r="C10" s="97" t="n">
        <v>19.46</v>
      </c>
      <c r="D10" s="97" t="n">
        <v>16.52</v>
      </c>
      <c r="E10" s="98" t="n">
        <f aca="false">(B10+C10+D10)/3</f>
        <v>19.0666666666667</v>
      </c>
      <c r="G10" s="96"/>
      <c r="H10" s="98" t="n">
        <v>122</v>
      </c>
      <c r="I10" s="98" t="n">
        <v>102</v>
      </c>
      <c r="J10" s="98" t="n">
        <v>162</v>
      </c>
      <c r="K10" s="98" t="n">
        <f aca="false">(H10+I10+J10)/3</f>
        <v>128.666666666667</v>
      </c>
    </row>
    <row r="11" customFormat="false" ht="16.05" hidden="false" customHeight="false" outlineLevel="0" collapsed="false">
      <c r="A11" s="96" t="s">
        <v>178</v>
      </c>
      <c r="B11" s="97" t="s">
        <v>171</v>
      </c>
      <c r="C11" s="97" t="s">
        <v>172</v>
      </c>
      <c r="D11" s="97" t="s">
        <v>173</v>
      </c>
      <c r="E11" s="97" t="s">
        <v>174</v>
      </c>
      <c r="G11" s="96" t="s">
        <v>178</v>
      </c>
      <c r="H11" s="97" t="s">
        <v>171</v>
      </c>
      <c r="I11" s="97" t="s">
        <v>172</v>
      </c>
      <c r="J11" s="97" t="s">
        <v>173</v>
      </c>
      <c r="K11" s="97" t="s">
        <v>174</v>
      </c>
    </row>
    <row r="12" customFormat="false" ht="16.05" hidden="false" customHeight="false" outlineLevel="0" collapsed="false">
      <c r="A12" s="96"/>
      <c r="B12" s="97" t="n">
        <v>21.22</v>
      </c>
      <c r="C12" s="97" t="n">
        <v>19.46</v>
      </c>
      <c r="D12" s="97" t="n">
        <v>16.52</v>
      </c>
      <c r="E12" s="98" t="n">
        <f aca="false">(B12+C12+D12)/3</f>
        <v>19.0666666666667</v>
      </c>
      <c r="G12" s="96"/>
      <c r="H12" s="98" t="n">
        <v>122</v>
      </c>
      <c r="I12" s="98" t="n">
        <v>102</v>
      </c>
      <c r="J12" s="98" t="n">
        <v>162</v>
      </c>
      <c r="K12" s="98" t="n">
        <f aca="false">(H12+I12+J12)/3</f>
        <v>128.666666666667</v>
      </c>
    </row>
    <row r="13" customFormat="false" ht="16.05" hidden="false" customHeight="false" outlineLevel="0" collapsed="false">
      <c r="A13" s="96" t="s">
        <v>179</v>
      </c>
      <c r="B13" s="97" t="s">
        <v>171</v>
      </c>
      <c r="C13" s="97" t="s">
        <v>172</v>
      </c>
      <c r="D13" s="97" t="s">
        <v>173</v>
      </c>
      <c r="E13" s="97" t="s">
        <v>174</v>
      </c>
      <c r="G13" s="96" t="s">
        <v>179</v>
      </c>
      <c r="H13" s="97" t="s">
        <v>171</v>
      </c>
      <c r="I13" s="97" t="s">
        <v>172</v>
      </c>
      <c r="J13" s="97" t="s">
        <v>173</v>
      </c>
      <c r="K13" s="97" t="s">
        <v>174</v>
      </c>
    </row>
    <row r="14" customFormat="false" ht="16.05" hidden="false" customHeight="false" outlineLevel="0" collapsed="false">
      <c r="A14" s="96"/>
      <c r="B14" s="97" t="n">
        <v>21.22</v>
      </c>
      <c r="C14" s="97" t="n">
        <v>19.46</v>
      </c>
      <c r="D14" s="97" t="n">
        <v>16.52</v>
      </c>
      <c r="E14" s="98" t="n">
        <f aca="false">(B14+C14+D14)/3</f>
        <v>19.0666666666667</v>
      </c>
      <c r="G14" s="96"/>
      <c r="H14" s="98" t="n">
        <v>122</v>
      </c>
      <c r="I14" s="98" t="n">
        <v>102</v>
      </c>
      <c r="J14" s="98" t="n">
        <v>162</v>
      </c>
      <c r="K14" s="98" t="n">
        <f aca="false">(H14+I14+J14)/3</f>
        <v>128.666666666667</v>
      </c>
    </row>
    <row r="15" customFormat="false" ht="16.05" hidden="false" customHeight="false" outlineLevel="0" collapsed="false">
      <c r="A15" s="96" t="s">
        <v>180</v>
      </c>
      <c r="B15" s="97" t="s">
        <v>171</v>
      </c>
      <c r="C15" s="97" t="s">
        <v>172</v>
      </c>
      <c r="D15" s="97" t="s">
        <v>173</v>
      </c>
      <c r="E15" s="97" t="s">
        <v>174</v>
      </c>
      <c r="G15" s="96" t="s">
        <v>180</v>
      </c>
      <c r="H15" s="97" t="s">
        <v>171</v>
      </c>
      <c r="I15" s="97" t="s">
        <v>172</v>
      </c>
      <c r="J15" s="97" t="s">
        <v>173</v>
      </c>
      <c r="K15" s="97" t="s">
        <v>174</v>
      </c>
    </row>
    <row r="16" customFormat="false" ht="16.05" hidden="false" customHeight="false" outlineLevel="0" collapsed="false">
      <c r="A16" s="96"/>
      <c r="B16" s="97" t="n">
        <v>21.22</v>
      </c>
      <c r="C16" s="97" t="n">
        <v>19.46</v>
      </c>
      <c r="D16" s="97" t="n">
        <v>16.52</v>
      </c>
      <c r="E16" s="98" t="n">
        <f aca="false">(B16+C16+D16)/3</f>
        <v>19.0666666666667</v>
      </c>
      <c r="G16" s="96"/>
      <c r="H16" s="98" t="n">
        <v>122</v>
      </c>
      <c r="I16" s="98" t="n">
        <v>102</v>
      </c>
      <c r="J16" s="98" t="n">
        <v>162</v>
      </c>
      <c r="K16" s="98" t="n">
        <f aca="false">(H16+I16+J16)/3</f>
        <v>128.666666666667</v>
      </c>
    </row>
    <row r="17" customFormat="false" ht="16.05" hidden="false" customHeight="false" outlineLevel="0" collapsed="false">
      <c r="A17" s="96" t="s">
        <v>181</v>
      </c>
      <c r="B17" s="97" t="s">
        <v>171</v>
      </c>
      <c r="C17" s="97" t="s">
        <v>172</v>
      </c>
      <c r="D17" s="97" t="s">
        <v>173</v>
      </c>
      <c r="E17" s="97" t="s">
        <v>174</v>
      </c>
      <c r="G17" s="96" t="s">
        <v>181</v>
      </c>
      <c r="H17" s="97" t="s">
        <v>171</v>
      </c>
      <c r="I17" s="97" t="s">
        <v>172</v>
      </c>
      <c r="J17" s="97" t="s">
        <v>173</v>
      </c>
      <c r="K17" s="97" t="s">
        <v>174</v>
      </c>
    </row>
    <row r="18" customFormat="false" ht="16.05" hidden="false" customHeight="false" outlineLevel="0" collapsed="false">
      <c r="A18" s="96"/>
      <c r="B18" s="97" t="n">
        <v>21.22</v>
      </c>
      <c r="C18" s="97" t="n">
        <v>19.46</v>
      </c>
      <c r="D18" s="97" t="n">
        <v>16.52</v>
      </c>
      <c r="E18" s="98" t="n">
        <f aca="false">(B18+C18+D18)/3</f>
        <v>19.0666666666667</v>
      </c>
      <c r="G18" s="96"/>
      <c r="H18" s="98" t="n">
        <v>122</v>
      </c>
      <c r="I18" s="98" t="n">
        <v>102</v>
      </c>
      <c r="J18" s="98" t="n">
        <v>162</v>
      </c>
      <c r="K18" s="98" t="n">
        <f aca="false">(H18+I18+J18)/3</f>
        <v>128.666666666667</v>
      </c>
    </row>
    <row r="19" customFormat="false" ht="16.05" hidden="false" customHeight="false" outlineLevel="0" collapsed="false">
      <c r="A19" s="96" t="s">
        <v>182</v>
      </c>
      <c r="B19" s="97" t="s">
        <v>171</v>
      </c>
      <c r="C19" s="97" t="s">
        <v>172</v>
      </c>
      <c r="D19" s="97" t="s">
        <v>173</v>
      </c>
      <c r="E19" s="97" t="s">
        <v>174</v>
      </c>
      <c r="G19" s="96" t="s">
        <v>182</v>
      </c>
      <c r="H19" s="97" t="s">
        <v>171</v>
      </c>
      <c r="I19" s="97" t="s">
        <v>172</v>
      </c>
      <c r="J19" s="97" t="s">
        <v>173</v>
      </c>
      <c r="K19" s="97" t="s">
        <v>174</v>
      </c>
    </row>
    <row r="20" customFormat="false" ht="16.05" hidden="false" customHeight="false" outlineLevel="0" collapsed="false">
      <c r="A20" s="96"/>
      <c r="B20" s="97" t="n">
        <v>21.22</v>
      </c>
      <c r="C20" s="97" t="n">
        <v>19.46</v>
      </c>
      <c r="D20" s="97" t="n">
        <v>16.52</v>
      </c>
      <c r="E20" s="98" t="n">
        <f aca="false">(B20+C20+D20)/3</f>
        <v>19.0666666666667</v>
      </c>
      <c r="G20" s="96"/>
      <c r="H20" s="98" t="n">
        <v>122</v>
      </c>
      <c r="I20" s="98" t="n">
        <v>102</v>
      </c>
      <c r="J20" s="98" t="n">
        <v>162</v>
      </c>
      <c r="K20" s="98" t="n">
        <f aca="false">(H20+I20+J20)/3</f>
        <v>128.666666666667</v>
      </c>
    </row>
    <row r="21" customFormat="false" ht="16.05" hidden="false" customHeight="false" outlineLevel="0" collapsed="false">
      <c r="A21" s="96" t="s">
        <v>183</v>
      </c>
      <c r="B21" s="97" t="s">
        <v>171</v>
      </c>
      <c r="C21" s="97" t="s">
        <v>172</v>
      </c>
      <c r="D21" s="97" t="s">
        <v>173</v>
      </c>
      <c r="E21" s="97" t="s">
        <v>174</v>
      </c>
      <c r="G21" s="96" t="s">
        <v>183</v>
      </c>
      <c r="H21" s="97" t="s">
        <v>171</v>
      </c>
      <c r="I21" s="97" t="s">
        <v>172</v>
      </c>
      <c r="J21" s="97" t="s">
        <v>173</v>
      </c>
      <c r="K21" s="97" t="s">
        <v>174</v>
      </c>
    </row>
    <row r="22" customFormat="false" ht="16.05" hidden="false" customHeight="false" outlineLevel="0" collapsed="false">
      <c r="A22" s="96"/>
      <c r="B22" s="97" t="n">
        <v>21.22</v>
      </c>
      <c r="C22" s="97" t="n">
        <v>19.46</v>
      </c>
      <c r="D22" s="97" t="n">
        <v>16.52</v>
      </c>
      <c r="E22" s="98" t="n">
        <f aca="false">(B22+C22+D22)/3</f>
        <v>19.0666666666667</v>
      </c>
      <c r="G22" s="96"/>
      <c r="H22" s="98" t="n">
        <v>122</v>
      </c>
      <c r="I22" s="98" t="n">
        <v>102</v>
      </c>
      <c r="J22" s="98" t="n">
        <v>162</v>
      </c>
      <c r="K22" s="98" t="n">
        <f aca="false">(H22+I22+J22)/3</f>
        <v>128.666666666667</v>
      </c>
    </row>
    <row r="23" customFormat="false" ht="16.05" hidden="false" customHeight="false" outlineLevel="0" collapsed="false">
      <c r="A23" s="96" t="s">
        <v>184</v>
      </c>
      <c r="B23" s="97" t="s">
        <v>171</v>
      </c>
      <c r="C23" s="97" t="s">
        <v>172</v>
      </c>
      <c r="D23" s="97" t="s">
        <v>173</v>
      </c>
      <c r="E23" s="97" t="s">
        <v>174</v>
      </c>
      <c r="G23" s="96" t="s">
        <v>184</v>
      </c>
      <c r="H23" s="97" t="s">
        <v>171</v>
      </c>
      <c r="I23" s="97" t="s">
        <v>172</v>
      </c>
      <c r="J23" s="97" t="s">
        <v>173</v>
      </c>
      <c r="K23" s="97" t="s">
        <v>174</v>
      </c>
    </row>
    <row r="24" customFormat="false" ht="16.05" hidden="false" customHeight="false" outlineLevel="0" collapsed="false">
      <c r="A24" s="96"/>
      <c r="B24" s="97" t="n">
        <v>21.22</v>
      </c>
      <c r="C24" s="97" t="n">
        <v>19.46</v>
      </c>
      <c r="D24" s="97" t="n">
        <v>16.52</v>
      </c>
      <c r="E24" s="98" t="n">
        <f aca="false">(B24+C24+D24)/3</f>
        <v>19.0666666666667</v>
      </c>
      <c r="G24" s="96"/>
      <c r="H24" s="98" t="n">
        <v>122</v>
      </c>
      <c r="I24" s="98" t="n">
        <v>102</v>
      </c>
      <c r="J24" s="98" t="n">
        <v>162</v>
      </c>
      <c r="K24" s="98" t="n">
        <f aca="false">(H24+I24+J24)/3</f>
        <v>128.666666666667</v>
      </c>
    </row>
    <row r="25" customFormat="false" ht="16.05" hidden="false" customHeight="false" outlineLevel="0" collapsed="false">
      <c r="A25" s="96" t="s">
        <v>185</v>
      </c>
      <c r="B25" s="97" t="s">
        <v>171</v>
      </c>
      <c r="C25" s="97" t="s">
        <v>172</v>
      </c>
      <c r="D25" s="97" t="s">
        <v>173</v>
      </c>
      <c r="E25" s="97" t="s">
        <v>174</v>
      </c>
      <c r="G25" s="96" t="s">
        <v>185</v>
      </c>
      <c r="H25" s="97" t="s">
        <v>171</v>
      </c>
      <c r="I25" s="97" t="s">
        <v>172</v>
      </c>
      <c r="J25" s="97" t="s">
        <v>173</v>
      </c>
      <c r="K25" s="97" t="s">
        <v>174</v>
      </c>
    </row>
    <row r="26" customFormat="false" ht="16.05" hidden="false" customHeight="false" outlineLevel="0" collapsed="false">
      <c r="A26" s="96"/>
      <c r="B26" s="97" t="n">
        <v>21.22</v>
      </c>
      <c r="C26" s="97" t="n">
        <v>19.46</v>
      </c>
      <c r="D26" s="97" t="n">
        <v>16.52</v>
      </c>
      <c r="E26" s="98" t="n">
        <f aca="false">(B26+C26+D26)/3</f>
        <v>19.0666666666667</v>
      </c>
      <c r="G26" s="96"/>
      <c r="H26" s="98" t="n">
        <v>122</v>
      </c>
      <c r="I26" s="98" t="n">
        <v>102</v>
      </c>
      <c r="J26" s="98" t="n">
        <v>162</v>
      </c>
      <c r="K26" s="98" t="n">
        <f aca="false">(H26+I26+J26)/3</f>
        <v>128.666666666667</v>
      </c>
    </row>
    <row r="27" customFormat="false" ht="16.05" hidden="false" customHeight="false" outlineLevel="0" collapsed="false">
      <c r="A27" s="96" t="s">
        <v>186</v>
      </c>
      <c r="B27" s="97" t="s">
        <v>171</v>
      </c>
      <c r="C27" s="97" t="s">
        <v>172</v>
      </c>
      <c r="D27" s="97" t="s">
        <v>173</v>
      </c>
      <c r="E27" s="97" t="s">
        <v>174</v>
      </c>
      <c r="G27" s="96" t="s">
        <v>186</v>
      </c>
      <c r="H27" s="97" t="s">
        <v>171</v>
      </c>
      <c r="I27" s="97" t="s">
        <v>172</v>
      </c>
      <c r="J27" s="97" t="s">
        <v>173</v>
      </c>
      <c r="K27" s="97" t="s">
        <v>174</v>
      </c>
    </row>
    <row r="28" customFormat="false" ht="16.05" hidden="false" customHeight="false" outlineLevel="0" collapsed="false">
      <c r="A28" s="96"/>
      <c r="B28" s="97" t="n">
        <v>21.22</v>
      </c>
      <c r="C28" s="97" t="n">
        <v>19.46</v>
      </c>
      <c r="D28" s="97" t="n">
        <v>16.52</v>
      </c>
      <c r="E28" s="98" t="n">
        <f aca="false">(B28+C28+D28)/3</f>
        <v>19.0666666666667</v>
      </c>
      <c r="G28" s="96"/>
      <c r="H28" s="98" t="n">
        <v>122</v>
      </c>
      <c r="I28" s="98" t="n">
        <v>102</v>
      </c>
      <c r="J28" s="98" t="n">
        <v>162</v>
      </c>
      <c r="K28" s="98" t="n">
        <f aca="false">(H28+I28+J28)/3</f>
        <v>128.666666666667</v>
      </c>
    </row>
    <row r="31" customFormat="false" ht="14.05" hidden="false" customHeight="false" outlineLevel="0" collapsed="false"/>
  </sheetData>
  <mergeCells count="28">
    <mergeCell ref="A1:F1"/>
    <mergeCell ref="G1:L1"/>
    <mergeCell ref="A3:A4"/>
    <mergeCell ref="G3:G4"/>
    <mergeCell ref="A5:A6"/>
    <mergeCell ref="G5:G6"/>
    <mergeCell ref="A7:A8"/>
    <mergeCell ref="G7:G8"/>
    <mergeCell ref="A9:A10"/>
    <mergeCell ref="G9:G10"/>
    <mergeCell ref="A11:A12"/>
    <mergeCell ref="G11:G12"/>
    <mergeCell ref="A13:A14"/>
    <mergeCell ref="G13:G14"/>
    <mergeCell ref="A15:A16"/>
    <mergeCell ref="G15:G16"/>
    <mergeCell ref="A17:A18"/>
    <mergeCell ref="G17:G18"/>
    <mergeCell ref="A19:A20"/>
    <mergeCell ref="G19:G20"/>
    <mergeCell ref="A21:A22"/>
    <mergeCell ref="G21:G22"/>
    <mergeCell ref="A23:A24"/>
    <mergeCell ref="G23:G24"/>
    <mergeCell ref="A25:A26"/>
    <mergeCell ref="G25:G26"/>
    <mergeCell ref="A27:A28"/>
    <mergeCell ref="G27:G2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09"/>
  <sheetViews>
    <sheetView windowProtection="false" showFormulas="false" showGridLines="true" showRowColHeaders="true" showZeros="true" rightToLeft="false" tabSelected="false" showOutlineSymbols="true" defaultGridColor="true" view="normal" topLeftCell="A82" colorId="64" zoomScale="60" zoomScaleNormal="60" zoomScalePageLayoutView="100" workbookViewId="0">
      <selection pane="topLeft" activeCell="A103" activeCellId="0" sqref="A103"/>
    </sheetView>
  </sheetViews>
  <sheetFormatPr defaultRowHeight="14.05"/>
  <cols>
    <col collapsed="false" hidden="false" max="1" min="1" style="0" width="18.0883720930233"/>
    <col collapsed="false" hidden="false" max="2" min="2" style="0" width="18.2139534883721"/>
    <col collapsed="false" hidden="false" max="3" min="3" style="0" width="18.4604651162791"/>
    <col collapsed="false" hidden="false" max="4" min="4" style="0" width="19.9348837209302"/>
    <col collapsed="false" hidden="false" max="5" min="5" style="0" width="27.8139534883721"/>
    <col collapsed="false" hidden="false" max="6" min="6" style="0" width="43.1953488372093"/>
    <col collapsed="false" hidden="false" max="7" min="7" style="0" width="28.7953488372093"/>
    <col collapsed="false" hidden="false" max="8" min="8" style="0" width="27.1953488372093"/>
    <col collapsed="false" hidden="false" max="9" min="9" style="0" width="24.8604651162791"/>
    <col collapsed="false" hidden="false" max="1025" min="10" style="0" width="11.5674418604651"/>
  </cols>
  <sheetData>
    <row r="1" customFormat="false" ht="17.65" hidden="false" customHeight="false" outlineLevel="0" collapsed="false">
      <c r="A1" s="99" t="s">
        <v>187</v>
      </c>
      <c r="B1" s="99"/>
      <c r="C1" s="99"/>
      <c r="D1" s="99"/>
      <c r="E1" s="99"/>
      <c r="F1" s="99"/>
      <c r="G1" s="99"/>
      <c r="H1" s="99"/>
    </row>
    <row r="2" customFormat="false" ht="14.05" hidden="false" customHeight="false" outlineLevel="0" collapsed="false">
      <c r="A2" s="3"/>
      <c r="B2" s="3"/>
      <c r="C2" s="3"/>
      <c r="D2" s="3"/>
      <c r="E2" s="3"/>
      <c r="F2" s="3"/>
      <c r="G2" s="3"/>
      <c r="H2" s="3"/>
    </row>
    <row r="3" customFormat="false" ht="15.25" hidden="false" customHeight="false" outlineLevel="0" collapsed="false">
      <c r="A3" s="100" t="s">
        <v>188</v>
      </c>
      <c r="B3" s="100"/>
      <c r="C3" s="100"/>
      <c r="D3" s="100"/>
      <c r="E3" s="100"/>
      <c r="F3" s="100"/>
      <c r="G3" s="100"/>
      <c r="H3" s="100"/>
      <c r="I3" s="101" t="s">
        <v>189</v>
      </c>
    </row>
    <row r="4" customFormat="false" ht="15.25" hidden="false" customHeight="false" outlineLevel="0" collapsed="false">
      <c r="A4" s="102" t="s">
        <v>171</v>
      </c>
      <c r="B4" s="102" t="s">
        <v>172</v>
      </c>
      <c r="C4" s="102" t="s">
        <v>173</v>
      </c>
      <c r="D4" s="102" t="s">
        <v>174</v>
      </c>
      <c r="E4" s="102" t="s">
        <v>190</v>
      </c>
      <c r="F4" s="103" t="s">
        <v>191</v>
      </c>
      <c r="G4" s="103" t="s">
        <v>192</v>
      </c>
      <c r="H4" s="102" t="s">
        <v>193</v>
      </c>
      <c r="I4" s="104" t="n">
        <v>8303</v>
      </c>
    </row>
    <row r="5" customFormat="false" ht="15.25" hidden="false" customHeight="false" outlineLevel="0" collapsed="false">
      <c r="A5" s="105" t="n">
        <v>950</v>
      </c>
      <c r="B5" s="105" t="n">
        <v>1950</v>
      </c>
      <c r="C5" s="105" t="n">
        <v>2000</v>
      </c>
      <c r="D5" s="105" t="n">
        <f aca="false">(A5+B5+C5)/3</f>
        <v>1633.33333333333</v>
      </c>
      <c r="E5" s="106" t="n">
        <v>0.1</v>
      </c>
      <c r="F5" s="107" t="n">
        <v>10</v>
      </c>
      <c r="G5" s="105" t="n">
        <f aca="false">(D5/F5)/12</f>
        <v>13.6111111111111</v>
      </c>
      <c r="H5" s="105" t="n">
        <f aca="false">G5/2</f>
        <v>6.80555555555555</v>
      </c>
      <c r="I5" s="108"/>
    </row>
    <row r="6" customFormat="false" ht="14.05" hidden="false" customHeight="false" outlineLevel="0" collapsed="false">
      <c r="I6" s="108"/>
    </row>
    <row r="7" customFormat="false" ht="15.25" hidden="false" customHeight="false" outlineLevel="0" collapsed="false">
      <c r="A7" s="100" t="s">
        <v>194</v>
      </c>
      <c r="B7" s="100"/>
      <c r="C7" s="100"/>
      <c r="D7" s="100"/>
      <c r="E7" s="100"/>
      <c r="F7" s="100"/>
      <c r="G7" s="100"/>
      <c r="H7" s="100"/>
      <c r="I7" s="101" t="s">
        <v>189</v>
      </c>
    </row>
    <row r="8" customFormat="false" ht="15.25" hidden="false" customHeight="false" outlineLevel="0" collapsed="false">
      <c r="A8" s="102" t="s">
        <v>171</v>
      </c>
      <c r="B8" s="102" t="s">
        <v>172</v>
      </c>
      <c r="C8" s="102" t="s">
        <v>173</v>
      </c>
      <c r="D8" s="102" t="s">
        <v>174</v>
      </c>
      <c r="E8" s="102" t="s">
        <v>190</v>
      </c>
      <c r="F8" s="103" t="s">
        <v>191</v>
      </c>
      <c r="G8" s="102" t="s">
        <v>192</v>
      </c>
      <c r="H8" s="102" t="s">
        <v>193</v>
      </c>
      <c r="I8" s="109" t="n">
        <v>9032</v>
      </c>
    </row>
    <row r="9" customFormat="false" ht="15.25" hidden="false" customHeight="false" outlineLevel="0" collapsed="false">
      <c r="A9" s="105" t="n">
        <v>150</v>
      </c>
      <c r="B9" s="105" t="n">
        <v>150</v>
      </c>
      <c r="C9" s="105" t="n">
        <v>150</v>
      </c>
      <c r="D9" s="105" t="n">
        <f aca="false">(A9+B9+C9)/3</f>
        <v>150</v>
      </c>
      <c r="E9" s="106" t="n">
        <v>0.1</v>
      </c>
      <c r="F9" s="107" t="n">
        <v>10</v>
      </c>
      <c r="G9" s="105" t="n">
        <f aca="false">(D9/F9)/12</f>
        <v>1.25</v>
      </c>
      <c r="H9" s="105" t="n">
        <f aca="false">G9/2</f>
        <v>0.625</v>
      </c>
      <c r="I9" s="108"/>
    </row>
    <row r="10" customFormat="false" ht="14.05" hidden="false" customHeight="false" outlineLevel="0" collapsed="false">
      <c r="I10" s="108"/>
    </row>
    <row r="11" customFormat="false" ht="15.25" hidden="false" customHeight="false" outlineLevel="0" collapsed="false">
      <c r="A11" s="100" t="s">
        <v>195</v>
      </c>
      <c r="B11" s="100"/>
      <c r="C11" s="100"/>
      <c r="D11" s="100"/>
      <c r="E11" s="100"/>
      <c r="F11" s="100"/>
      <c r="G11" s="100"/>
      <c r="H11" s="100"/>
      <c r="I11" s="101" t="s">
        <v>189</v>
      </c>
    </row>
    <row r="12" customFormat="false" ht="15.25" hidden="false" customHeight="false" outlineLevel="0" collapsed="false">
      <c r="A12" s="102" t="s">
        <v>171</v>
      </c>
      <c r="B12" s="102" t="s">
        <v>172</v>
      </c>
      <c r="C12" s="102" t="s">
        <v>173</v>
      </c>
      <c r="D12" s="102" t="s">
        <v>174</v>
      </c>
      <c r="E12" s="102" t="s">
        <v>190</v>
      </c>
      <c r="F12" s="103" t="s">
        <v>191</v>
      </c>
      <c r="G12" s="102" t="s">
        <v>192</v>
      </c>
      <c r="H12" s="102" t="s">
        <v>193</v>
      </c>
      <c r="I12" s="110" t="n">
        <v>8517</v>
      </c>
    </row>
    <row r="13" customFormat="false" ht="15.25" hidden="false" customHeight="false" outlineLevel="0" collapsed="false">
      <c r="A13" s="105" t="n">
        <v>99.96</v>
      </c>
      <c r="B13" s="105" t="n">
        <v>103.66</v>
      </c>
      <c r="C13" s="105" t="n">
        <v>99.96</v>
      </c>
      <c r="D13" s="105" t="n">
        <f aca="false">(A13+B13+C13)/3</f>
        <v>101.193333333333</v>
      </c>
      <c r="E13" s="106" t="n">
        <v>0.2</v>
      </c>
      <c r="F13" s="107" t="n">
        <v>5</v>
      </c>
      <c r="G13" s="105" t="n">
        <f aca="false">(D13/F13)/12</f>
        <v>1.68655555555556</v>
      </c>
      <c r="H13" s="105" t="n">
        <f aca="false">G13/2</f>
        <v>0.843277777777778</v>
      </c>
      <c r="I13" s="108"/>
    </row>
    <row r="14" customFormat="false" ht="14.05" hidden="false" customHeight="false" outlineLevel="0" collapsed="false">
      <c r="I14" s="108"/>
    </row>
    <row r="15" customFormat="false" ht="15.25" hidden="false" customHeight="false" outlineLevel="0" collapsed="false">
      <c r="A15" s="100" t="s">
        <v>196</v>
      </c>
      <c r="B15" s="100"/>
      <c r="C15" s="100"/>
      <c r="D15" s="100"/>
      <c r="E15" s="100"/>
      <c r="F15" s="100"/>
      <c r="G15" s="100"/>
      <c r="H15" s="100"/>
      <c r="I15" s="101" t="s">
        <v>189</v>
      </c>
    </row>
    <row r="16" customFormat="false" ht="15.25" hidden="false" customHeight="false" outlineLevel="0" collapsed="false">
      <c r="A16" s="102" t="s">
        <v>171</v>
      </c>
      <c r="B16" s="102" t="s">
        <v>172</v>
      </c>
      <c r="C16" s="102" t="s">
        <v>173</v>
      </c>
      <c r="D16" s="102" t="s">
        <v>174</v>
      </c>
      <c r="E16" s="102" t="s">
        <v>190</v>
      </c>
      <c r="F16" s="103" t="s">
        <v>191</v>
      </c>
      <c r="G16" s="102" t="s">
        <v>192</v>
      </c>
      <c r="H16" s="102" t="s">
        <v>192</v>
      </c>
      <c r="I16" s="108"/>
    </row>
    <row r="17" customFormat="false" ht="15.25" hidden="false" customHeight="false" outlineLevel="0" collapsed="false">
      <c r="A17" s="105" t="n">
        <v>35.99</v>
      </c>
      <c r="B17" s="105" t="n">
        <v>39.99</v>
      </c>
      <c r="C17" s="105" t="n">
        <v>34.9</v>
      </c>
      <c r="D17" s="105" t="n">
        <f aca="false">(A17+B17+C17)/3</f>
        <v>36.96</v>
      </c>
      <c r="E17" s="106" t="n">
        <v>0</v>
      </c>
      <c r="F17" s="106"/>
      <c r="G17" s="105" t="n">
        <f aca="false">D17</f>
        <v>36.96</v>
      </c>
      <c r="H17" s="105" t="n">
        <f aca="false">G17/2</f>
        <v>18.48</v>
      </c>
      <c r="I17" s="108"/>
    </row>
    <row r="18" customFormat="false" ht="14.05" hidden="false" customHeight="false" outlineLevel="0" collapsed="false">
      <c r="I18" s="108"/>
    </row>
    <row r="19" customFormat="false" ht="15.25" hidden="false" customHeight="false" outlineLevel="0" collapsed="false">
      <c r="A19" s="100" t="s">
        <v>197</v>
      </c>
      <c r="B19" s="100"/>
      <c r="C19" s="100"/>
      <c r="D19" s="100"/>
      <c r="E19" s="100"/>
      <c r="F19" s="100"/>
      <c r="G19" s="100"/>
      <c r="H19" s="100"/>
      <c r="I19" s="101" t="s">
        <v>189</v>
      </c>
    </row>
    <row r="20" customFormat="false" ht="15.25" hidden="false" customHeight="false" outlineLevel="0" collapsed="false">
      <c r="A20" s="102" t="s">
        <v>171</v>
      </c>
      <c r="B20" s="102" t="s">
        <v>172</v>
      </c>
      <c r="C20" s="102" t="s">
        <v>173</v>
      </c>
      <c r="D20" s="102" t="s">
        <v>174</v>
      </c>
      <c r="E20" s="102" t="s">
        <v>190</v>
      </c>
      <c r="F20" s="103" t="s">
        <v>191</v>
      </c>
      <c r="G20" s="102" t="s">
        <v>192</v>
      </c>
      <c r="H20" s="102" t="s">
        <v>193</v>
      </c>
      <c r="I20" s="110" t="n">
        <v>9032</v>
      </c>
    </row>
    <row r="21" customFormat="false" ht="15.25" hidden="false" customHeight="false" outlineLevel="0" collapsed="false">
      <c r="A21" s="105" t="n">
        <v>989</v>
      </c>
      <c r="B21" s="105" t="n">
        <v>1124.57</v>
      </c>
      <c r="C21" s="105" t="n">
        <v>1180</v>
      </c>
      <c r="D21" s="105" t="n">
        <f aca="false">(A21+B21+C21)/3</f>
        <v>1097.85666666667</v>
      </c>
      <c r="E21" s="106" t="n">
        <v>0.1</v>
      </c>
      <c r="F21" s="107" t="n">
        <v>10</v>
      </c>
      <c r="G21" s="105" t="n">
        <f aca="false">(D21/F21)/12</f>
        <v>9.14880555555556</v>
      </c>
      <c r="H21" s="105" t="n">
        <f aca="false">G21/2</f>
        <v>4.57440277777778</v>
      </c>
      <c r="I21" s="108"/>
    </row>
    <row r="22" customFormat="false" ht="14.05" hidden="false" customHeight="false" outlineLevel="0" collapsed="false">
      <c r="I22" s="108"/>
    </row>
    <row r="23" customFormat="false" ht="15.25" hidden="false" customHeight="false" outlineLevel="0" collapsed="false">
      <c r="A23" s="100" t="s">
        <v>198</v>
      </c>
      <c r="B23" s="100"/>
      <c r="C23" s="100"/>
      <c r="D23" s="100"/>
      <c r="E23" s="100"/>
      <c r="F23" s="100"/>
      <c r="G23" s="100"/>
      <c r="H23" s="100"/>
      <c r="I23" s="101" t="s">
        <v>189</v>
      </c>
    </row>
    <row r="24" customFormat="false" ht="15.25" hidden="false" customHeight="false" outlineLevel="0" collapsed="false">
      <c r="A24" s="102" t="s">
        <v>171</v>
      </c>
      <c r="B24" s="102" t="s">
        <v>172</v>
      </c>
      <c r="C24" s="102" t="s">
        <v>173</v>
      </c>
      <c r="D24" s="102" t="s">
        <v>174</v>
      </c>
      <c r="E24" s="102" t="s">
        <v>190</v>
      </c>
      <c r="F24" s="103" t="s">
        <v>191</v>
      </c>
      <c r="G24" s="102" t="s">
        <v>192</v>
      </c>
      <c r="H24" s="102" t="s">
        <v>193</v>
      </c>
      <c r="I24" s="108"/>
    </row>
    <row r="25" customFormat="false" ht="15.25" hidden="false" customHeight="false" outlineLevel="0" collapsed="false">
      <c r="A25" s="105" t="n">
        <v>1050</v>
      </c>
      <c r="B25" s="105" t="n">
        <v>1050</v>
      </c>
      <c r="C25" s="105" t="n">
        <v>1050</v>
      </c>
      <c r="D25" s="105" t="n">
        <f aca="false">(A25+B25+C25)/3</f>
        <v>1050</v>
      </c>
      <c r="E25" s="106" t="n">
        <v>0.2</v>
      </c>
      <c r="F25" s="107" t="n">
        <v>5</v>
      </c>
      <c r="G25" s="105" t="n">
        <f aca="false">(D25/F25)/12</f>
        <v>17.5</v>
      </c>
      <c r="H25" s="105" t="n">
        <f aca="false">G25/2</f>
        <v>8.75</v>
      </c>
      <c r="I25" s="108"/>
    </row>
    <row r="26" customFormat="false" ht="14.05" hidden="false" customHeight="false" outlineLevel="0" collapsed="false">
      <c r="I26" s="108"/>
    </row>
    <row r="27" customFormat="false" ht="15.25" hidden="false" customHeight="false" outlineLevel="0" collapsed="false">
      <c r="A27" s="100" t="s">
        <v>199</v>
      </c>
      <c r="B27" s="100"/>
      <c r="C27" s="100"/>
      <c r="D27" s="100"/>
      <c r="E27" s="100"/>
      <c r="F27" s="100"/>
      <c r="G27" s="100"/>
      <c r="H27" s="100"/>
      <c r="I27" s="101" t="s">
        <v>189</v>
      </c>
    </row>
    <row r="28" customFormat="false" ht="15.25" hidden="false" customHeight="false" outlineLevel="0" collapsed="false">
      <c r="A28" s="102" t="s">
        <v>171</v>
      </c>
      <c r="B28" s="102" t="s">
        <v>172</v>
      </c>
      <c r="C28" s="102" t="s">
        <v>173</v>
      </c>
      <c r="D28" s="102" t="s">
        <v>174</v>
      </c>
      <c r="E28" s="102" t="s">
        <v>190</v>
      </c>
      <c r="F28" s="103" t="s">
        <v>191</v>
      </c>
      <c r="G28" s="102" t="s">
        <v>192</v>
      </c>
      <c r="H28" s="102" t="s">
        <v>193</v>
      </c>
      <c r="I28" s="108"/>
    </row>
    <row r="29" customFormat="false" ht="15.25" hidden="false" customHeight="false" outlineLevel="0" collapsed="false">
      <c r="A29" s="105" t="n">
        <v>180</v>
      </c>
      <c r="B29" s="105" t="n">
        <v>150</v>
      </c>
      <c r="C29" s="105" t="n">
        <v>175</v>
      </c>
      <c r="D29" s="105" t="n">
        <f aca="false">(A29+B29+C29)/3</f>
        <v>168.333333333333</v>
      </c>
      <c r="E29" s="111" t="n">
        <v>0.25</v>
      </c>
      <c r="F29" s="107" t="n">
        <v>4</v>
      </c>
      <c r="G29" s="105" t="n">
        <f aca="false">(D29/F29)/12</f>
        <v>3.50694444444444</v>
      </c>
      <c r="H29" s="105" t="n">
        <f aca="false">G29/2</f>
        <v>1.75347222222222</v>
      </c>
      <c r="I29" s="108"/>
    </row>
    <row r="30" customFormat="false" ht="14.05" hidden="false" customHeight="false" outlineLevel="0" collapsed="false">
      <c r="I30" s="108"/>
    </row>
    <row r="31" customFormat="false" ht="15.25" hidden="false" customHeight="false" outlineLevel="0" collapsed="false">
      <c r="A31" s="100" t="s">
        <v>200</v>
      </c>
      <c r="B31" s="100"/>
      <c r="C31" s="100"/>
      <c r="D31" s="100"/>
      <c r="E31" s="100"/>
      <c r="F31" s="100"/>
      <c r="G31" s="100"/>
      <c r="H31" s="100"/>
      <c r="I31" s="101" t="s">
        <v>189</v>
      </c>
    </row>
    <row r="32" customFormat="false" ht="15.25" hidden="false" customHeight="false" outlineLevel="0" collapsed="false">
      <c r="A32" s="102" t="s">
        <v>171</v>
      </c>
      <c r="B32" s="102" t="s">
        <v>172</v>
      </c>
      <c r="C32" s="102" t="s">
        <v>173</v>
      </c>
      <c r="D32" s="102" t="s">
        <v>174</v>
      </c>
      <c r="E32" s="102" t="s">
        <v>190</v>
      </c>
      <c r="F32" s="103" t="s">
        <v>191</v>
      </c>
      <c r="G32" s="102" t="s">
        <v>192</v>
      </c>
      <c r="H32" s="102" t="s">
        <v>193</v>
      </c>
      <c r="I32" s="108"/>
    </row>
    <row r="33" customFormat="false" ht="15.25" hidden="false" customHeight="false" outlineLevel="0" collapsed="false">
      <c r="A33" s="105" t="n">
        <v>10</v>
      </c>
      <c r="B33" s="105" t="n">
        <v>10</v>
      </c>
      <c r="C33" s="105" t="n">
        <v>10</v>
      </c>
      <c r="D33" s="105" t="n">
        <f aca="false">(A33+B33+C33)/3</f>
        <v>10</v>
      </c>
      <c r="E33" s="106" t="n">
        <v>0.25</v>
      </c>
      <c r="F33" s="107" t="n">
        <v>4</v>
      </c>
      <c r="G33" s="105" t="n">
        <f aca="false">(D33/F33)/12</f>
        <v>0.208333333333333</v>
      </c>
      <c r="H33" s="105" t="n">
        <f aca="false">G33/2</f>
        <v>0.104166666666667</v>
      </c>
      <c r="I33" s="108"/>
    </row>
    <row r="34" customFormat="false" ht="14.05" hidden="false" customHeight="false" outlineLevel="0" collapsed="false">
      <c r="I34" s="108"/>
    </row>
    <row r="35" customFormat="false" ht="15.25" hidden="false" customHeight="false" outlineLevel="0" collapsed="false">
      <c r="A35" s="100" t="s">
        <v>201</v>
      </c>
      <c r="B35" s="100"/>
      <c r="C35" s="100"/>
      <c r="D35" s="100"/>
      <c r="E35" s="100"/>
      <c r="F35" s="100"/>
      <c r="G35" s="100"/>
      <c r="H35" s="100"/>
      <c r="I35" s="101" t="s">
        <v>189</v>
      </c>
    </row>
    <row r="36" customFormat="false" ht="15.25" hidden="false" customHeight="false" outlineLevel="0" collapsed="false">
      <c r="A36" s="102" t="s">
        <v>171</v>
      </c>
      <c r="B36" s="102" t="s">
        <v>172</v>
      </c>
      <c r="C36" s="102" t="s">
        <v>173</v>
      </c>
      <c r="D36" s="102" t="s">
        <v>174</v>
      </c>
      <c r="E36" s="102" t="s">
        <v>190</v>
      </c>
      <c r="F36" s="103" t="s">
        <v>191</v>
      </c>
      <c r="G36" s="102" t="s">
        <v>192</v>
      </c>
      <c r="H36" s="102" t="s">
        <v>193</v>
      </c>
      <c r="I36" s="108"/>
    </row>
    <row r="37" customFormat="false" ht="15.25" hidden="false" customHeight="false" outlineLevel="0" collapsed="false">
      <c r="A37" s="105" t="n">
        <v>53.02</v>
      </c>
      <c r="B37" s="105" t="n">
        <v>53.02</v>
      </c>
      <c r="C37" s="105" t="n">
        <v>53.02</v>
      </c>
      <c r="D37" s="105" t="n">
        <f aca="false">(A37+B37+C37)/3</f>
        <v>53.02</v>
      </c>
      <c r="E37" s="106" t="n">
        <v>0.25</v>
      </c>
      <c r="F37" s="107" t="n">
        <v>4</v>
      </c>
      <c r="G37" s="105" t="n">
        <f aca="false">(D37/F37)/12</f>
        <v>1.10458333333333</v>
      </c>
      <c r="H37" s="105" t="n">
        <f aca="false">G37/2</f>
        <v>0.552291666666667</v>
      </c>
      <c r="I37" s="108"/>
    </row>
    <row r="38" customFormat="false" ht="14.05" hidden="false" customHeight="false" outlineLevel="0" collapsed="false">
      <c r="I38" s="108"/>
    </row>
    <row r="39" customFormat="false" ht="15.25" hidden="false" customHeight="false" outlineLevel="0" collapsed="false">
      <c r="A39" s="100" t="s">
        <v>202</v>
      </c>
      <c r="B39" s="100"/>
      <c r="C39" s="100"/>
      <c r="D39" s="100"/>
      <c r="E39" s="100"/>
      <c r="F39" s="100"/>
      <c r="G39" s="100"/>
      <c r="H39" s="100"/>
      <c r="I39" s="101" t="s">
        <v>189</v>
      </c>
    </row>
    <row r="40" customFormat="false" ht="15.25" hidden="false" customHeight="false" outlineLevel="0" collapsed="false">
      <c r="A40" s="102" t="s">
        <v>171</v>
      </c>
      <c r="B40" s="102" t="s">
        <v>172</v>
      </c>
      <c r="C40" s="102" t="s">
        <v>173</v>
      </c>
      <c r="D40" s="102" t="s">
        <v>174</v>
      </c>
      <c r="E40" s="102" t="s">
        <v>190</v>
      </c>
      <c r="F40" s="103" t="s">
        <v>191</v>
      </c>
      <c r="G40" s="102" t="s">
        <v>192</v>
      </c>
      <c r="H40" s="102" t="s">
        <v>192</v>
      </c>
      <c r="I40" s="108"/>
    </row>
    <row r="41" customFormat="false" ht="15.25" hidden="false" customHeight="false" outlineLevel="0" collapsed="false">
      <c r="A41" s="105" t="n">
        <v>100</v>
      </c>
      <c r="B41" s="105" t="n">
        <v>80</v>
      </c>
      <c r="C41" s="105" t="n">
        <v>100</v>
      </c>
      <c r="D41" s="105" t="n">
        <f aca="false">(A41+B41+C41)/3</f>
        <v>93.3333333333333</v>
      </c>
      <c r="E41" s="106" t="n">
        <v>0.2</v>
      </c>
      <c r="F41" s="107" t="n">
        <v>5</v>
      </c>
      <c r="G41" s="105" t="n">
        <f aca="false">(D41/F41)/12</f>
        <v>1.55555555555556</v>
      </c>
      <c r="H41" s="105" t="n">
        <f aca="false">G41/2</f>
        <v>0.777777777777778</v>
      </c>
      <c r="I41" s="108"/>
    </row>
    <row r="42" customFormat="false" ht="14.05" hidden="false" customHeight="false" outlineLevel="0" collapsed="false">
      <c r="I42" s="108"/>
    </row>
    <row r="43" customFormat="false" ht="15.25" hidden="false" customHeight="false" outlineLevel="0" collapsed="false">
      <c r="A43" s="100" t="s">
        <v>203</v>
      </c>
      <c r="B43" s="100"/>
      <c r="C43" s="100"/>
      <c r="D43" s="100"/>
      <c r="E43" s="100"/>
      <c r="F43" s="100"/>
      <c r="G43" s="100"/>
      <c r="H43" s="100"/>
      <c r="I43" s="101" t="s">
        <v>189</v>
      </c>
    </row>
    <row r="44" customFormat="false" ht="15.25" hidden="false" customHeight="false" outlineLevel="0" collapsed="false">
      <c r="A44" s="102" t="s">
        <v>171</v>
      </c>
      <c r="B44" s="102" t="s">
        <v>172</v>
      </c>
      <c r="C44" s="102" t="s">
        <v>173</v>
      </c>
      <c r="D44" s="102" t="s">
        <v>174</v>
      </c>
      <c r="E44" s="102" t="s">
        <v>190</v>
      </c>
      <c r="F44" s="103" t="s">
        <v>191</v>
      </c>
      <c r="G44" s="102" t="s">
        <v>192</v>
      </c>
      <c r="H44" s="102" t="s">
        <v>193</v>
      </c>
      <c r="I44" s="108"/>
    </row>
    <row r="45" customFormat="false" ht="15.25" hidden="false" customHeight="false" outlineLevel="0" collapsed="false">
      <c r="A45" s="105" t="n">
        <v>1100</v>
      </c>
      <c r="B45" s="105" t="n">
        <v>900</v>
      </c>
      <c r="C45" s="105" t="n">
        <v>1200</v>
      </c>
      <c r="D45" s="105" t="n">
        <f aca="false">(A45+B45+C45)/3</f>
        <v>1066.66666666667</v>
      </c>
      <c r="E45" s="106" t="n">
        <v>0.2</v>
      </c>
      <c r="F45" s="107" t="n">
        <v>5</v>
      </c>
      <c r="G45" s="105" t="n">
        <f aca="false">(D45/F45)/12</f>
        <v>17.7777777777778</v>
      </c>
      <c r="H45" s="105" t="n">
        <f aca="false">G45/2</f>
        <v>8.88888888888889</v>
      </c>
      <c r="I45" s="108"/>
    </row>
    <row r="46" customFormat="false" ht="14.05" hidden="false" customHeight="false" outlineLevel="0" collapsed="false">
      <c r="I46" s="108"/>
    </row>
    <row r="47" customFormat="false" ht="14.9" hidden="false" customHeight="false" outlineLevel="0" collapsed="false">
      <c r="A47" s="100" t="s">
        <v>204</v>
      </c>
      <c r="B47" s="100"/>
      <c r="C47" s="100"/>
      <c r="D47" s="100"/>
      <c r="E47" s="100"/>
      <c r="F47" s="100"/>
      <c r="G47" s="100"/>
      <c r="H47" s="100"/>
      <c r="I47" s="101" t="s">
        <v>189</v>
      </c>
    </row>
    <row r="48" customFormat="false" ht="15.25" hidden="false" customHeight="false" outlineLevel="0" collapsed="false">
      <c r="A48" s="102" t="s">
        <v>171</v>
      </c>
      <c r="B48" s="102" t="s">
        <v>172</v>
      </c>
      <c r="C48" s="102" t="s">
        <v>173</v>
      </c>
      <c r="D48" s="102" t="s">
        <v>174</v>
      </c>
      <c r="E48" s="102" t="s">
        <v>190</v>
      </c>
      <c r="F48" s="103" t="s">
        <v>191</v>
      </c>
      <c r="G48" s="102" t="s">
        <v>192</v>
      </c>
      <c r="H48" s="102" t="s">
        <v>193</v>
      </c>
      <c r="I48" s="110" t="n">
        <v>8517</v>
      </c>
    </row>
    <row r="49" customFormat="false" ht="15.25" hidden="false" customHeight="false" outlineLevel="0" collapsed="false">
      <c r="A49" s="105" t="n">
        <v>0</v>
      </c>
      <c r="B49" s="105" t="n">
        <v>0</v>
      </c>
      <c r="C49" s="105" t="n">
        <v>0</v>
      </c>
      <c r="D49" s="105" t="n">
        <f aca="false">(A49+B49+C49)/3</f>
        <v>0</v>
      </c>
      <c r="E49" s="106" t="n">
        <v>0.2</v>
      </c>
      <c r="F49" s="107" t="n">
        <v>5</v>
      </c>
      <c r="G49" s="105" t="n">
        <f aca="false">(D49/F49)/12</f>
        <v>0</v>
      </c>
      <c r="H49" s="105" t="n">
        <f aca="false">G49/2</f>
        <v>0</v>
      </c>
      <c r="I49" s="108"/>
    </row>
    <row r="50" customFormat="false" ht="15.25" hidden="false" customHeight="false" outlineLevel="0" collapsed="false">
      <c r="A50" s="105"/>
      <c r="B50" s="105"/>
      <c r="C50" s="105"/>
      <c r="D50" s="105"/>
      <c r="E50" s="106"/>
      <c r="F50" s="106"/>
      <c r="G50" s="105"/>
      <c r="H50" s="105"/>
      <c r="I50" s="108"/>
    </row>
    <row r="51" customFormat="false" ht="15.25" hidden="false" customHeight="false" outlineLevel="0" collapsed="false">
      <c r="A51" s="100" t="s">
        <v>205</v>
      </c>
      <c r="B51" s="100"/>
      <c r="C51" s="100"/>
      <c r="D51" s="100"/>
      <c r="E51" s="100"/>
      <c r="F51" s="100"/>
      <c r="G51" s="100"/>
      <c r="H51" s="100"/>
      <c r="I51" s="101" t="s">
        <v>189</v>
      </c>
    </row>
    <row r="52" customFormat="false" ht="15.25" hidden="false" customHeight="false" outlineLevel="0" collapsed="false">
      <c r="A52" s="102" t="s">
        <v>171</v>
      </c>
      <c r="B52" s="102" t="s">
        <v>172</v>
      </c>
      <c r="C52" s="102" t="s">
        <v>173</v>
      </c>
      <c r="D52" s="102" t="s">
        <v>174</v>
      </c>
      <c r="E52" s="102" t="s">
        <v>190</v>
      </c>
      <c r="F52" s="103" t="s">
        <v>191</v>
      </c>
      <c r="G52" s="102" t="s">
        <v>192</v>
      </c>
      <c r="H52" s="102" t="s">
        <v>193</v>
      </c>
      <c r="I52" s="108"/>
    </row>
    <row r="53" customFormat="false" ht="15.25" hidden="false" customHeight="false" outlineLevel="0" collapsed="false">
      <c r="A53" s="105" t="n">
        <v>17</v>
      </c>
      <c r="B53" s="105" t="n">
        <v>17</v>
      </c>
      <c r="C53" s="105" t="n">
        <v>17</v>
      </c>
      <c r="D53" s="105" t="n">
        <f aca="false">(A53+B53+C53)/3</f>
        <v>17</v>
      </c>
      <c r="E53" s="106" t="n">
        <v>0.2</v>
      </c>
      <c r="F53" s="107" t="n">
        <v>5</v>
      </c>
      <c r="G53" s="105" t="n">
        <f aca="false">(D53/F53)/12*3</f>
        <v>0.85</v>
      </c>
      <c r="H53" s="105" t="n">
        <f aca="false">G53/2</f>
        <v>0.425</v>
      </c>
      <c r="I53" s="108"/>
    </row>
    <row r="54" customFormat="false" ht="15.25" hidden="false" customHeight="false" outlineLevel="0" collapsed="false">
      <c r="A54" s="105"/>
      <c r="B54" s="105"/>
      <c r="C54" s="105"/>
      <c r="D54" s="105"/>
      <c r="E54" s="106"/>
      <c r="F54" s="106"/>
      <c r="G54" s="112"/>
      <c r="H54" s="105"/>
      <c r="I54" s="108"/>
    </row>
    <row r="55" customFormat="false" ht="15.25" hidden="false" customHeight="false" outlineLevel="0" collapsed="false">
      <c r="A55" s="100" t="s">
        <v>206</v>
      </c>
      <c r="B55" s="100"/>
      <c r="C55" s="100"/>
      <c r="D55" s="100"/>
      <c r="E55" s="100"/>
      <c r="F55" s="100"/>
      <c r="G55" s="100"/>
      <c r="H55" s="100"/>
      <c r="I55" s="101" t="s">
        <v>189</v>
      </c>
    </row>
    <row r="56" customFormat="false" ht="15.25" hidden="false" customHeight="false" outlineLevel="0" collapsed="false">
      <c r="A56" s="102" t="s">
        <v>171</v>
      </c>
      <c r="B56" s="102" t="s">
        <v>172</v>
      </c>
      <c r="C56" s="102" t="s">
        <v>173</v>
      </c>
      <c r="D56" s="102" t="s">
        <v>174</v>
      </c>
      <c r="E56" s="102" t="s">
        <v>190</v>
      </c>
      <c r="F56" s="103" t="s">
        <v>191</v>
      </c>
      <c r="G56" s="102" t="s">
        <v>192</v>
      </c>
      <c r="H56" s="102" t="s">
        <v>193</v>
      </c>
      <c r="I56" s="108"/>
    </row>
    <row r="57" customFormat="false" ht="15.25" hidden="false" customHeight="false" outlineLevel="0" collapsed="false">
      <c r="A57" s="105" t="n">
        <v>6</v>
      </c>
      <c r="B57" s="105" t="n">
        <v>6</v>
      </c>
      <c r="C57" s="105" t="n">
        <v>6</v>
      </c>
      <c r="D57" s="105" t="n">
        <f aca="false">(A57+B57+C57)/3</f>
        <v>6</v>
      </c>
      <c r="E57" s="106" t="n">
        <v>1</v>
      </c>
      <c r="F57" s="107" t="n">
        <v>1</v>
      </c>
      <c r="G57" s="105" t="n">
        <f aca="false">(D57/F57)/12*6</f>
        <v>3</v>
      </c>
      <c r="H57" s="105" t="n">
        <f aca="false">G57/2</f>
        <v>1.5</v>
      </c>
      <c r="I57" s="108"/>
    </row>
    <row r="58" customFormat="false" ht="15.25" hidden="false" customHeight="false" outlineLevel="0" collapsed="false">
      <c r="A58" s="105"/>
      <c r="B58" s="105"/>
      <c r="C58" s="105"/>
      <c r="D58" s="105"/>
      <c r="E58" s="106"/>
      <c r="F58" s="106"/>
      <c r="G58" s="105"/>
      <c r="H58" s="105"/>
      <c r="I58" s="108"/>
    </row>
    <row r="59" customFormat="false" ht="15.25" hidden="false" customHeight="false" outlineLevel="0" collapsed="false">
      <c r="A59" s="100" t="s">
        <v>207</v>
      </c>
      <c r="B59" s="100"/>
      <c r="C59" s="100"/>
      <c r="D59" s="100"/>
      <c r="E59" s="100"/>
      <c r="F59" s="100"/>
      <c r="G59" s="100"/>
      <c r="H59" s="100"/>
      <c r="I59" s="101" t="s">
        <v>189</v>
      </c>
    </row>
    <row r="60" customFormat="false" ht="15.25" hidden="false" customHeight="false" outlineLevel="0" collapsed="false">
      <c r="A60" s="102" t="s">
        <v>171</v>
      </c>
      <c r="B60" s="102" t="s">
        <v>172</v>
      </c>
      <c r="C60" s="102" t="s">
        <v>173</v>
      </c>
      <c r="D60" s="102" t="s">
        <v>174</v>
      </c>
      <c r="E60" s="102" t="s">
        <v>190</v>
      </c>
      <c r="F60" s="103" t="s">
        <v>191</v>
      </c>
      <c r="G60" s="102" t="s">
        <v>192</v>
      </c>
      <c r="H60" s="102" t="s">
        <v>193</v>
      </c>
      <c r="I60" s="108"/>
    </row>
    <row r="61" customFormat="false" ht="15.25" hidden="false" customHeight="false" outlineLevel="0" collapsed="false">
      <c r="A61" s="105" t="n">
        <v>80</v>
      </c>
      <c r="B61" s="105" t="n">
        <v>80</v>
      </c>
      <c r="C61" s="105" t="n">
        <v>75</v>
      </c>
      <c r="D61" s="105" t="n">
        <f aca="false">(A61+B61+C61)/3</f>
        <v>78.3333333333333</v>
      </c>
      <c r="E61" s="106" t="n">
        <v>1</v>
      </c>
      <c r="F61" s="107" t="n">
        <v>1</v>
      </c>
      <c r="G61" s="105" t="n">
        <f aca="false">(D61/F61)/12*12</f>
        <v>78.3333333333333</v>
      </c>
      <c r="H61" s="105" t="n">
        <f aca="false">G61/2</f>
        <v>39.1666666666667</v>
      </c>
      <c r="I61" s="108"/>
    </row>
    <row r="62" customFormat="false" ht="15.25" hidden="false" customHeight="false" outlineLevel="0" collapsed="false">
      <c r="A62" s="105"/>
      <c r="B62" s="105"/>
      <c r="C62" s="105"/>
      <c r="D62" s="105"/>
      <c r="E62" s="106"/>
      <c r="F62" s="106"/>
      <c r="G62" s="105"/>
      <c r="H62" s="105"/>
      <c r="I62" s="108"/>
    </row>
    <row r="63" customFormat="false" ht="15.25" hidden="false" customHeight="false" outlineLevel="0" collapsed="false">
      <c r="A63" s="100" t="s">
        <v>208</v>
      </c>
      <c r="B63" s="100"/>
      <c r="C63" s="100"/>
      <c r="D63" s="100"/>
      <c r="E63" s="100"/>
      <c r="F63" s="100"/>
      <c r="G63" s="100"/>
      <c r="H63" s="100"/>
      <c r="I63" s="101" t="s">
        <v>189</v>
      </c>
    </row>
    <row r="64" customFormat="false" ht="15.25" hidden="false" customHeight="false" outlineLevel="0" collapsed="false">
      <c r="A64" s="102" t="s">
        <v>171</v>
      </c>
      <c r="B64" s="102" t="s">
        <v>172</v>
      </c>
      <c r="C64" s="102" t="s">
        <v>173</v>
      </c>
      <c r="D64" s="102" t="s">
        <v>174</v>
      </c>
      <c r="E64" s="102" t="s">
        <v>190</v>
      </c>
      <c r="F64" s="103" t="s">
        <v>191</v>
      </c>
      <c r="G64" s="102" t="s">
        <v>192</v>
      </c>
      <c r="H64" s="102" t="s">
        <v>193</v>
      </c>
      <c r="I64" s="108"/>
    </row>
    <row r="65" customFormat="false" ht="15.25" hidden="false" customHeight="false" outlineLevel="0" collapsed="false">
      <c r="A65" s="105" t="n">
        <v>15</v>
      </c>
      <c r="B65" s="105" t="n">
        <v>15</v>
      </c>
      <c r="C65" s="105" t="n">
        <v>15</v>
      </c>
      <c r="D65" s="105" t="n">
        <f aca="false">(A65+B65+C65)/3</f>
        <v>15</v>
      </c>
      <c r="E65" s="106" t="n">
        <v>1</v>
      </c>
      <c r="F65" s="107" t="n">
        <v>1</v>
      </c>
      <c r="G65" s="105" t="n">
        <f aca="false">(D65/F65)/12*12</f>
        <v>15</v>
      </c>
      <c r="H65" s="105" t="n">
        <f aca="false">G65/2</f>
        <v>7.5</v>
      </c>
      <c r="I65" s="108"/>
    </row>
    <row r="66" customFormat="false" ht="15.25" hidden="false" customHeight="false" outlineLevel="0" collapsed="false">
      <c r="A66" s="105"/>
      <c r="B66" s="105"/>
      <c r="C66" s="105"/>
      <c r="D66" s="105"/>
      <c r="E66" s="106"/>
      <c r="F66" s="106"/>
      <c r="G66" s="105"/>
      <c r="H66" s="105"/>
      <c r="I66" s="108"/>
    </row>
    <row r="67" customFormat="false" ht="15.25" hidden="false" customHeight="false" outlineLevel="0" collapsed="false">
      <c r="A67" s="100" t="s">
        <v>209</v>
      </c>
      <c r="B67" s="100"/>
      <c r="C67" s="100"/>
      <c r="D67" s="100"/>
      <c r="E67" s="100"/>
      <c r="F67" s="100"/>
      <c r="G67" s="100"/>
      <c r="H67" s="100"/>
      <c r="I67" s="101" t="s">
        <v>189</v>
      </c>
    </row>
    <row r="68" customFormat="false" ht="15.25" hidden="false" customHeight="false" outlineLevel="0" collapsed="false">
      <c r="A68" s="102" t="s">
        <v>171</v>
      </c>
      <c r="B68" s="102" t="s">
        <v>172</v>
      </c>
      <c r="C68" s="102" t="s">
        <v>173</v>
      </c>
      <c r="D68" s="102" t="s">
        <v>174</v>
      </c>
      <c r="E68" s="102" t="s">
        <v>190</v>
      </c>
      <c r="F68" s="103" t="s">
        <v>191</v>
      </c>
      <c r="G68" s="102" t="s">
        <v>192</v>
      </c>
      <c r="H68" s="102" t="s">
        <v>193</v>
      </c>
      <c r="I68" s="108"/>
    </row>
    <row r="69" customFormat="false" ht="15.25" hidden="false" customHeight="false" outlineLevel="0" collapsed="false">
      <c r="A69" s="105" t="n">
        <v>32.4</v>
      </c>
      <c r="B69" s="105" t="n">
        <v>28.45</v>
      </c>
      <c r="C69" s="105" t="n">
        <v>39.06</v>
      </c>
      <c r="D69" s="105" t="n">
        <f aca="false">(A69+B69+C69)/3</f>
        <v>33.3033333333333</v>
      </c>
      <c r="E69" s="106" t="n">
        <v>1</v>
      </c>
      <c r="F69" s="107" t="n">
        <v>1</v>
      </c>
      <c r="G69" s="105" t="n">
        <f aca="false">(D69/F69)/12*6</f>
        <v>16.6516666666667</v>
      </c>
      <c r="H69" s="105" t="n">
        <f aca="false">G69/2</f>
        <v>8.32583333333333</v>
      </c>
      <c r="I69" s="108"/>
    </row>
    <row r="70" customFormat="false" ht="15.25" hidden="false" customHeight="false" outlineLevel="0" collapsed="false">
      <c r="A70" s="105"/>
      <c r="B70" s="105"/>
      <c r="C70" s="105"/>
      <c r="D70" s="105"/>
      <c r="E70" s="106"/>
      <c r="F70" s="106"/>
      <c r="G70" s="105"/>
      <c r="H70" s="105"/>
      <c r="I70" s="108"/>
    </row>
    <row r="71" customFormat="false" ht="15.25" hidden="false" customHeight="false" outlineLevel="0" collapsed="false">
      <c r="A71" s="100" t="s">
        <v>210</v>
      </c>
      <c r="B71" s="100"/>
      <c r="C71" s="100"/>
      <c r="D71" s="100"/>
      <c r="E71" s="100"/>
      <c r="F71" s="100"/>
      <c r="G71" s="100"/>
      <c r="H71" s="100"/>
      <c r="I71" s="101" t="s">
        <v>189</v>
      </c>
    </row>
    <row r="72" customFormat="false" ht="15.25" hidden="false" customHeight="false" outlineLevel="0" collapsed="false">
      <c r="A72" s="102" t="s">
        <v>171</v>
      </c>
      <c r="B72" s="102" t="s">
        <v>172</v>
      </c>
      <c r="C72" s="102" t="s">
        <v>173</v>
      </c>
      <c r="D72" s="102" t="s">
        <v>174</v>
      </c>
      <c r="E72" s="102" t="s">
        <v>190</v>
      </c>
      <c r="F72" s="103" t="s">
        <v>191</v>
      </c>
      <c r="G72" s="102" t="s">
        <v>192</v>
      </c>
      <c r="H72" s="102" t="s">
        <v>193</v>
      </c>
      <c r="I72" s="108"/>
    </row>
    <row r="73" customFormat="false" ht="15.25" hidden="false" customHeight="false" outlineLevel="0" collapsed="false">
      <c r="A73" s="105" t="n">
        <v>10</v>
      </c>
      <c r="B73" s="105" t="n">
        <v>10</v>
      </c>
      <c r="C73" s="105" t="n">
        <v>10</v>
      </c>
      <c r="D73" s="105" t="n">
        <f aca="false">(A73+B73+C73)/3</f>
        <v>10</v>
      </c>
      <c r="E73" s="106" t="n">
        <v>1</v>
      </c>
      <c r="F73" s="107" t="n">
        <v>1</v>
      </c>
      <c r="G73" s="105" t="n">
        <f aca="false">(D73/F73)/12*6</f>
        <v>5</v>
      </c>
      <c r="H73" s="105" t="n">
        <f aca="false">G73/2</f>
        <v>2.5</v>
      </c>
      <c r="I73" s="108"/>
    </row>
    <row r="74" customFormat="false" ht="15.25" hidden="false" customHeight="false" outlineLevel="0" collapsed="false">
      <c r="A74" s="105"/>
      <c r="B74" s="105"/>
      <c r="C74" s="105"/>
      <c r="D74" s="105"/>
      <c r="E74" s="106"/>
      <c r="F74" s="106"/>
      <c r="G74" s="105"/>
      <c r="H74" s="105"/>
      <c r="I74" s="108"/>
    </row>
    <row r="75" customFormat="false" ht="15.25" hidden="false" customHeight="false" outlineLevel="0" collapsed="false">
      <c r="A75" s="100" t="s">
        <v>211</v>
      </c>
      <c r="B75" s="100"/>
      <c r="C75" s="100"/>
      <c r="D75" s="100"/>
      <c r="E75" s="100"/>
      <c r="F75" s="100"/>
      <c r="G75" s="100"/>
      <c r="H75" s="100"/>
      <c r="I75" s="101" t="s">
        <v>189</v>
      </c>
    </row>
    <row r="76" customFormat="false" ht="15.25" hidden="false" customHeight="false" outlineLevel="0" collapsed="false">
      <c r="A76" s="102" t="s">
        <v>171</v>
      </c>
      <c r="B76" s="102" t="s">
        <v>172</v>
      </c>
      <c r="C76" s="102" t="s">
        <v>173</v>
      </c>
      <c r="D76" s="102" t="s">
        <v>174</v>
      </c>
      <c r="E76" s="102" t="s">
        <v>190</v>
      </c>
      <c r="F76" s="103" t="s">
        <v>191</v>
      </c>
      <c r="G76" s="102" t="s">
        <v>192</v>
      </c>
      <c r="H76" s="102" t="s">
        <v>193</v>
      </c>
      <c r="I76" s="108"/>
    </row>
    <row r="77" customFormat="false" ht="15.25" hidden="false" customHeight="false" outlineLevel="0" collapsed="false">
      <c r="A77" s="105" t="n">
        <v>170.1</v>
      </c>
      <c r="B77" s="105" t="n">
        <v>140.7</v>
      </c>
      <c r="C77" s="105" t="n">
        <v>161.9</v>
      </c>
      <c r="D77" s="105" t="n">
        <f aca="false">(A77+B77+C77)/3</f>
        <v>157.566666666667</v>
      </c>
      <c r="E77" s="106" t="n">
        <v>1</v>
      </c>
      <c r="F77" s="107" t="n">
        <v>1</v>
      </c>
      <c r="G77" s="105" t="n">
        <f aca="false">(D77/F77)/12*6</f>
        <v>78.7833333333333</v>
      </c>
      <c r="H77" s="105" t="n">
        <f aca="false">G77/2</f>
        <v>39.3916666666667</v>
      </c>
      <c r="I77" s="108"/>
    </row>
    <row r="78" customFormat="false" ht="15.25" hidden="false" customHeight="false" outlineLevel="0" collapsed="false">
      <c r="A78" s="105"/>
      <c r="B78" s="105"/>
      <c r="C78" s="105"/>
      <c r="D78" s="105"/>
      <c r="E78" s="106"/>
      <c r="F78" s="106"/>
      <c r="G78" s="105"/>
      <c r="H78" s="105"/>
      <c r="I78" s="108"/>
    </row>
    <row r="79" customFormat="false" ht="15.25" hidden="false" customHeight="false" outlineLevel="0" collapsed="false">
      <c r="A79" s="100" t="s">
        <v>212</v>
      </c>
      <c r="B79" s="100"/>
      <c r="C79" s="100"/>
      <c r="D79" s="100"/>
      <c r="E79" s="100"/>
      <c r="F79" s="100"/>
      <c r="G79" s="100"/>
      <c r="H79" s="100"/>
      <c r="I79" s="101" t="s">
        <v>189</v>
      </c>
    </row>
    <row r="80" customFormat="false" ht="15.25" hidden="false" customHeight="false" outlineLevel="0" collapsed="false">
      <c r="A80" s="102" t="s">
        <v>171</v>
      </c>
      <c r="B80" s="102" t="s">
        <v>172</v>
      </c>
      <c r="C80" s="102" t="s">
        <v>173</v>
      </c>
      <c r="D80" s="102" t="s">
        <v>174</v>
      </c>
      <c r="E80" s="102" t="s">
        <v>190</v>
      </c>
      <c r="F80" s="103" t="s">
        <v>191</v>
      </c>
      <c r="G80" s="102" t="s">
        <v>192</v>
      </c>
      <c r="H80" s="102" t="s">
        <v>193</v>
      </c>
      <c r="I80" s="108"/>
    </row>
    <row r="81" customFormat="false" ht="15.25" hidden="false" customHeight="false" outlineLevel="0" collapsed="false">
      <c r="A81" s="105" t="n">
        <v>25</v>
      </c>
      <c r="B81" s="105" t="n">
        <v>25</v>
      </c>
      <c r="C81" s="105" t="n">
        <v>25</v>
      </c>
      <c r="D81" s="105" t="n">
        <f aca="false">(A81+B81+C81)/3</f>
        <v>25</v>
      </c>
      <c r="E81" s="106" t="n">
        <v>1</v>
      </c>
      <c r="F81" s="107" t="n">
        <v>1</v>
      </c>
      <c r="G81" s="105" t="n">
        <f aca="false">(D81/F81)/12*6</f>
        <v>12.5</v>
      </c>
      <c r="H81" s="105" t="n">
        <f aca="false">G81/2</f>
        <v>6.25</v>
      </c>
      <c r="I81" s="108"/>
    </row>
    <row r="82" customFormat="false" ht="15.25" hidden="false" customHeight="false" outlineLevel="0" collapsed="false">
      <c r="A82" s="105"/>
      <c r="B82" s="105"/>
      <c r="C82" s="105"/>
      <c r="D82" s="105"/>
      <c r="E82" s="106"/>
      <c r="F82" s="106"/>
      <c r="G82" s="105"/>
      <c r="H82" s="105"/>
      <c r="I82" s="108"/>
    </row>
    <row r="83" customFormat="false" ht="15.25" hidden="false" customHeight="false" outlineLevel="0" collapsed="false">
      <c r="A83" s="100" t="s">
        <v>213</v>
      </c>
      <c r="B83" s="100"/>
      <c r="C83" s="100"/>
      <c r="D83" s="100"/>
      <c r="E83" s="100"/>
      <c r="F83" s="100"/>
      <c r="G83" s="100"/>
      <c r="H83" s="100"/>
      <c r="I83" s="101" t="s">
        <v>189</v>
      </c>
    </row>
    <row r="84" customFormat="false" ht="15.25" hidden="false" customHeight="false" outlineLevel="0" collapsed="false">
      <c r="A84" s="102" t="s">
        <v>171</v>
      </c>
      <c r="B84" s="102" t="s">
        <v>172</v>
      </c>
      <c r="C84" s="102" t="s">
        <v>173</v>
      </c>
      <c r="D84" s="102" t="s">
        <v>174</v>
      </c>
      <c r="E84" s="102" t="s">
        <v>190</v>
      </c>
      <c r="F84" s="103" t="s">
        <v>191</v>
      </c>
      <c r="G84" s="102" t="s">
        <v>192</v>
      </c>
      <c r="H84" s="102" t="s">
        <v>193</v>
      </c>
      <c r="I84" s="108"/>
    </row>
    <row r="85" customFormat="false" ht="15.25" hidden="false" customHeight="false" outlineLevel="0" collapsed="false">
      <c r="A85" s="105" t="n">
        <v>50</v>
      </c>
      <c r="B85" s="105" t="n">
        <v>35</v>
      </c>
      <c r="C85" s="105" t="n">
        <v>45</v>
      </c>
      <c r="D85" s="105" t="n">
        <f aca="false">(A85+B85+C85)/3</f>
        <v>43.3333333333333</v>
      </c>
      <c r="E85" s="106" t="n">
        <v>1</v>
      </c>
      <c r="F85" s="107" t="n">
        <v>1</v>
      </c>
      <c r="G85" s="105" t="n">
        <f aca="false">(D85/F85)/12*6</f>
        <v>21.6666666666667</v>
      </c>
      <c r="H85" s="105" t="n">
        <f aca="false">G85/2</f>
        <v>10.8333333333333</v>
      </c>
      <c r="I85" s="108"/>
    </row>
    <row r="86" customFormat="false" ht="15.25" hidden="false" customHeight="false" outlineLevel="0" collapsed="false">
      <c r="A86" s="105"/>
      <c r="B86" s="105"/>
      <c r="C86" s="105"/>
      <c r="D86" s="105"/>
      <c r="E86" s="106"/>
      <c r="F86" s="106"/>
      <c r="G86" s="105"/>
      <c r="H86" s="105"/>
      <c r="I86" s="108"/>
    </row>
    <row r="87" customFormat="false" ht="15.25" hidden="false" customHeight="false" outlineLevel="0" collapsed="false">
      <c r="A87" s="100" t="s">
        <v>214</v>
      </c>
      <c r="B87" s="100"/>
      <c r="C87" s="100"/>
      <c r="D87" s="100"/>
      <c r="E87" s="100"/>
      <c r="F87" s="100"/>
      <c r="G87" s="100"/>
      <c r="H87" s="100"/>
      <c r="I87" s="101" t="s">
        <v>189</v>
      </c>
    </row>
    <row r="88" customFormat="false" ht="15.25" hidden="false" customHeight="false" outlineLevel="0" collapsed="false">
      <c r="A88" s="102" t="s">
        <v>171</v>
      </c>
      <c r="B88" s="102" t="s">
        <v>172</v>
      </c>
      <c r="C88" s="102" t="s">
        <v>173</v>
      </c>
      <c r="D88" s="102" t="s">
        <v>174</v>
      </c>
      <c r="E88" s="102" t="s">
        <v>190</v>
      </c>
      <c r="F88" s="103" t="s">
        <v>191</v>
      </c>
      <c r="G88" s="102" t="s">
        <v>192</v>
      </c>
      <c r="H88" s="102" t="s">
        <v>193</v>
      </c>
      <c r="I88" s="108"/>
    </row>
    <row r="89" customFormat="false" ht="15.25" hidden="false" customHeight="false" outlineLevel="0" collapsed="false">
      <c r="A89" s="105" t="n">
        <v>160</v>
      </c>
      <c r="B89" s="105" t="n">
        <v>250</v>
      </c>
      <c r="C89" s="105" t="n">
        <v>190</v>
      </c>
      <c r="D89" s="105" t="n">
        <f aca="false">(A89+B89+C89)/3</f>
        <v>200</v>
      </c>
      <c r="E89" s="106" t="n">
        <v>1</v>
      </c>
      <c r="F89" s="107" t="n">
        <v>1</v>
      </c>
      <c r="G89" s="105" t="n">
        <f aca="false">(D89/F89)/12*6</f>
        <v>100</v>
      </c>
      <c r="H89" s="105" t="n">
        <f aca="false">G89/2</f>
        <v>50</v>
      </c>
      <c r="I89" s="108"/>
    </row>
    <row r="90" customFormat="false" ht="15.25" hidden="false" customHeight="false" outlineLevel="0" collapsed="false">
      <c r="A90" s="105"/>
      <c r="B90" s="105"/>
      <c r="C90" s="105"/>
      <c r="D90" s="105"/>
      <c r="E90" s="106"/>
      <c r="F90" s="106"/>
      <c r="G90" s="105"/>
      <c r="H90" s="105"/>
      <c r="I90" s="108"/>
    </row>
    <row r="91" customFormat="false" ht="15.25" hidden="false" customHeight="false" outlineLevel="0" collapsed="false">
      <c r="A91" s="100" t="s">
        <v>215</v>
      </c>
      <c r="B91" s="100"/>
      <c r="C91" s="100"/>
      <c r="D91" s="100"/>
      <c r="E91" s="100"/>
      <c r="F91" s="100"/>
      <c r="G91" s="100"/>
      <c r="H91" s="100"/>
      <c r="I91" s="101" t="s">
        <v>189</v>
      </c>
    </row>
    <row r="92" customFormat="false" ht="15.25" hidden="false" customHeight="false" outlineLevel="0" collapsed="false">
      <c r="A92" s="102" t="s">
        <v>171</v>
      </c>
      <c r="B92" s="102" t="s">
        <v>172</v>
      </c>
      <c r="C92" s="102" t="s">
        <v>173</v>
      </c>
      <c r="D92" s="102" t="s">
        <v>174</v>
      </c>
      <c r="E92" s="102" t="s">
        <v>190</v>
      </c>
      <c r="F92" s="103" t="s">
        <v>191</v>
      </c>
      <c r="G92" s="102" t="s">
        <v>192</v>
      </c>
      <c r="H92" s="102" t="s">
        <v>193</v>
      </c>
      <c r="I92" s="108"/>
    </row>
    <row r="93" customFormat="false" ht="15.25" hidden="false" customHeight="false" outlineLevel="0" collapsed="false">
      <c r="A93" s="105" t="n">
        <v>3</v>
      </c>
      <c r="B93" s="105" t="n">
        <v>3</v>
      </c>
      <c r="C93" s="105" t="n">
        <v>3</v>
      </c>
      <c r="D93" s="105" t="n">
        <f aca="false">(A93+B93+C93)/3</f>
        <v>3</v>
      </c>
      <c r="E93" s="106" t="n">
        <v>1</v>
      </c>
      <c r="F93" s="107" t="n">
        <v>1</v>
      </c>
      <c r="G93" s="105" t="n">
        <f aca="false">(D93/F93)/12*12</f>
        <v>3</v>
      </c>
      <c r="H93" s="105" t="n">
        <f aca="false">G93/2</f>
        <v>1.5</v>
      </c>
      <c r="I93" s="108"/>
    </row>
    <row r="94" customFormat="false" ht="15.25" hidden="false" customHeight="false" outlineLevel="0" collapsed="false">
      <c r="A94" s="105"/>
      <c r="B94" s="105"/>
      <c r="C94" s="105"/>
      <c r="D94" s="105"/>
      <c r="E94" s="106"/>
      <c r="F94" s="106"/>
      <c r="G94" s="105"/>
      <c r="H94" s="105"/>
      <c r="I94" s="108"/>
    </row>
    <row r="95" customFormat="false" ht="15.25" hidden="false" customHeight="false" outlineLevel="0" collapsed="false">
      <c r="A95" s="100" t="s">
        <v>216</v>
      </c>
      <c r="B95" s="100"/>
      <c r="C95" s="100"/>
      <c r="D95" s="100"/>
      <c r="E95" s="100"/>
      <c r="F95" s="100"/>
      <c r="G95" s="100"/>
      <c r="H95" s="100"/>
      <c r="I95" s="101" t="s">
        <v>189</v>
      </c>
    </row>
    <row r="96" customFormat="false" ht="15.25" hidden="false" customHeight="false" outlineLevel="0" collapsed="false">
      <c r="A96" s="102" t="s">
        <v>171</v>
      </c>
      <c r="B96" s="102" t="s">
        <v>172</v>
      </c>
      <c r="C96" s="102" t="s">
        <v>173</v>
      </c>
      <c r="D96" s="102" t="s">
        <v>174</v>
      </c>
      <c r="E96" s="102" t="s">
        <v>190</v>
      </c>
      <c r="F96" s="103" t="s">
        <v>191</v>
      </c>
      <c r="G96" s="102" t="s">
        <v>192</v>
      </c>
      <c r="H96" s="102" t="s">
        <v>193</v>
      </c>
      <c r="I96" s="108"/>
    </row>
    <row r="97" customFormat="false" ht="15.25" hidden="false" customHeight="false" outlineLevel="0" collapsed="false">
      <c r="A97" s="105" t="n">
        <v>20</v>
      </c>
      <c r="B97" s="105" t="n">
        <v>20</v>
      </c>
      <c r="C97" s="105" t="n">
        <v>22</v>
      </c>
      <c r="D97" s="105" t="n">
        <f aca="false">(A97+B97+C97)/3</f>
        <v>20.6666666666667</v>
      </c>
      <c r="E97" s="106" t="n">
        <v>1</v>
      </c>
      <c r="F97" s="107" t="n">
        <v>1</v>
      </c>
      <c r="G97" s="105" t="n">
        <f aca="false">(D97/F97)/12*6</f>
        <v>10.3333333333333</v>
      </c>
      <c r="H97" s="105" t="n">
        <f aca="false">G97/2</f>
        <v>5.16666666666667</v>
      </c>
      <c r="I97" s="108"/>
    </row>
    <row r="98" customFormat="false" ht="15.25" hidden="false" customHeight="false" outlineLevel="0" collapsed="false">
      <c r="A98" s="105"/>
      <c r="B98" s="105"/>
      <c r="C98" s="105"/>
      <c r="D98" s="105"/>
      <c r="E98" s="106"/>
      <c r="F98" s="106"/>
      <c r="G98" s="105"/>
      <c r="H98" s="105"/>
      <c r="I98" s="108"/>
    </row>
    <row r="99" customFormat="false" ht="15.25" hidden="false" customHeight="false" outlineLevel="0" collapsed="false">
      <c r="A99" s="113" t="s">
        <v>217</v>
      </c>
      <c r="B99" s="113"/>
      <c r="C99" s="113"/>
      <c r="D99" s="113"/>
      <c r="E99" s="113"/>
      <c r="F99" s="113"/>
      <c r="G99" s="114" t="n">
        <f aca="false">SUM(G5+G9+G13+G17+G21+G25+G29+G33+G37+G41+G45+G49+G53+G57+G61+G65+G69+G73+G77+G81+G85+G89+G93+G97)-G17</f>
        <v>412.468</v>
      </c>
      <c r="H99" s="114" t="n">
        <f aca="false">SUM(H5+H9+H13+H17+H21+H25+H29+H33+H37+H41+H45+H49+H53+H57+H61+H65+H69+H73+H77+H81+H85+H89+H93+H97)-H17</f>
        <v>206.234</v>
      </c>
      <c r="I99" s="115"/>
    </row>
    <row r="100" customFormat="false" ht="15.25" hidden="false" customHeight="false" outlineLevel="0" collapsed="false">
      <c r="A100" s="116" t="s">
        <v>218</v>
      </c>
      <c r="B100" s="116"/>
      <c r="C100" s="116"/>
      <c r="D100" s="116"/>
      <c r="E100" s="116"/>
      <c r="F100" s="116"/>
      <c r="G100" s="117" t="n">
        <f aca="false">G17</f>
        <v>36.96</v>
      </c>
      <c r="H100" s="117" t="n">
        <f aca="false">H17</f>
        <v>18.48</v>
      </c>
      <c r="I100" s="108"/>
    </row>
    <row r="103" customFormat="false" ht="15.25" hidden="false" customHeight="false" outlineLevel="0" collapsed="false">
      <c r="A103" s="118" t="s">
        <v>219</v>
      </c>
      <c r="B103" s="118"/>
      <c r="C103" s="118"/>
      <c r="D103" s="118"/>
      <c r="E103" s="118"/>
      <c r="F103" s="118"/>
      <c r="G103" s="119" t="n">
        <f aca="false">(G5+G9+G13+G21+G25+G29+G33+G37+G41+G45+G49+G53)</f>
        <v>68.1996666666667</v>
      </c>
      <c r="H103" s="119" t="n">
        <f aca="false">(H5+H9+H13+H21+H25+H29+H33+H37+H41+H45+H49+H53)</f>
        <v>34.0998333333333</v>
      </c>
    </row>
    <row r="105" customFormat="false" ht="15.25" hidden="false" customHeight="false" outlineLevel="0" collapsed="false">
      <c r="A105" s="120" t="s">
        <v>220</v>
      </c>
      <c r="B105" s="120"/>
      <c r="C105" s="120"/>
      <c r="D105" s="120"/>
      <c r="E105" s="120"/>
      <c r="F105" s="120"/>
      <c r="G105" s="121" t="n">
        <f aca="false">(G57+G61+G65+G69+G73+G77+G81+G85+G89+G93+G97)</f>
        <v>344.268333333333</v>
      </c>
      <c r="H105" s="121" t="n">
        <f aca="false">(H57+H61+H65+H69+H73+H77+H81+H85+H89+H93+H97)</f>
        <v>172.134166666667</v>
      </c>
    </row>
    <row r="107" customFormat="false" ht="15.25" hidden="false" customHeight="false" outlineLevel="0" collapsed="false">
      <c r="A107" s="122" t="s">
        <v>221</v>
      </c>
      <c r="B107" s="122"/>
      <c r="C107" s="122"/>
      <c r="D107" s="122"/>
      <c r="E107" s="122"/>
      <c r="F107" s="122"/>
      <c r="G107" s="123" t="n">
        <v>4500</v>
      </c>
      <c r="H107" s="123" t="n">
        <f aca="false">G107/28</f>
        <v>160.714285714286</v>
      </c>
    </row>
    <row r="109" customFormat="false" ht="17.65" hidden="false" customHeight="true" outlineLevel="0" collapsed="false">
      <c r="A109" s="124" t="s">
        <v>222</v>
      </c>
      <c r="B109" s="124"/>
      <c r="C109" s="124"/>
      <c r="D109" s="124"/>
      <c r="E109" s="124"/>
      <c r="F109" s="124"/>
      <c r="G109" s="124"/>
      <c r="H109" s="124"/>
      <c r="I109" s="124"/>
    </row>
  </sheetData>
  <mergeCells count="32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H59"/>
    <mergeCell ref="A63:H63"/>
    <mergeCell ref="A67:H67"/>
    <mergeCell ref="A71:H71"/>
    <mergeCell ref="A75:H75"/>
    <mergeCell ref="A79:H79"/>
    <mergeCell ref="A83:H83"/>
    <mergeCell ref="A87:H87"/>
    <mergeCell ref="A91:H91"/>
    <mergeCell ref="A95:H95"/>
    <mergeCell ref="A99:F99"/>
    <mergeCell ref="A100:F100"/>
    <mergeCell ref="A103:F103"/>
    <mergeCell ref="A105:F105"/>
    <mergeCell ref="A107:F107"/>
    <mergeCell ref="A109:I11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10"/>
  <sheetViews>
    <sheetView windowProtection="false" showFormulas="false" showGridLines="true" showRowColHeaders="true" showZeros="true" rightToLeft="false" tabSelected="false" showOutlineSymbols="true" defaultGridColor="true" view="normal" topLeftCell="A79" colorId="64" zoomScale="60" zoomScaleNormal="60" zoomScalePageLayoutView="100" workbookViewId="0">
      <selection pane="topLeft" activeCell="A19" activeCellId="0" sqref="A19"/>
    </sheetView>
  </sheetViews>
  <sheetFormatPr defaultRowHeight="14.05"/>
  <cols>
    <col collapsed="false" hidden="false" max="1" min="1" style="0" width="22.0279069767442"/>
    <col collapsed="false" hidden="false" max="4" min="2" style="0" width="20.9209302325581"/>
    <col collapsed="false" hidden="false" max="5" min="5" style="0" width="25.4744186046512"/>
    <col collapsed="false" hidden="false" max="6" min="6" style="0" width="43.1953488372093"/>
    <col collapsed="false" hidden="false" max="7" min="7" style="0" width="23.506976744186"/>
    <col collapsed="false" hidden="false" max="8" min="8" style="0" width="25.7209302325581"/>
    <col collapsed="false" hidden="false" max="1025" min="9" style="0" width="13.4139534883721"/>
  </cols>
  <sheetData>
    <row r="1" customFormat="false" ht="17.65" hidden="false" customHeight="false" outlineLevel="0" collapsed="false">
      <c r="A1" s="99" t="s">
        <v>223</v>
      </c>
      <c r="B1" s="99"/>
      <c r="C1" s="99"/>
      <c r="D1" s="99"/>
      <c r="E1" s="99"/>
      <c r="F1" s="99"/>
      <c r="G1" s="99"/>
      <c r="H1" s="99"/>
      <c r="I1" s="125"/>
      <c r="J1" s="125"/>
    </row>
    <row r="2" customFormat="false" ht="14.0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125"/>
      <c r="J2" s="125"/>
    </row>
    <row r="3" customFormat="false" ht="15.25" hidden="false" customHeight="false" outlineLevel="0" collapsed="false">
      <c r="A3" s="100" t="s">
        <v>188</v>
      </c>
      <c r="B3" s="100"/>
      <c r="C3" s="100"/>
      <c r="D3" s="100"/>
      <c r="E3" s="100"/>
      <c r="F3" s="100"/>
      <c r="G3" s="100"/>
      <c r="H3" s="100"/>
      <c r="I3" s="125"/>
      <c r="J3" s="125"/>
    </row>
    <row r="4" customFormat="false" ht="15.25" hidden="false" customHeight="false" outlineLevel="0" collapsed="false">
      <c r="A4" s="102" t="s">
        <v>171</v>
      </c>
      <c r="B4" s="102" t="s">
        <v>172</v>
      </c>
      <c r="C4" s="102" t="s">
        <v>173</v>
      </c>
      <c r="D4" s="102" t="s">
        <v>174</v>
      </c>
      <c r="E4" s="102" t="s">
        <v>190</v>
      </c>
      <c r="F4" s="102" t="s">
        <v>191</v>
      </c>
      <c r="G4" s="102" t="s">
        <v>192</v>
      </c>
      <c r="H4" s="102" t="s">
        <v>193</v>
      </c>
      <c r="I4" s="125"/>
      <c r="J4" s="125"/>
    </row>
    <row r="5" customFormat="false" ht="15.25" hidden="false" customHeight="false" outlineLevel="0" collapsed="false">
      <c r="A5" s="105" t="n">
        <v>1500</v>
      </c>
      <c r="B5" s="105" t="n">
        <v>1950</v>
      </c>
      <c r="C5" s="105" t="n">
        <v>2000</v>
      </c>
      <c r="D5" s="105" t="n">
        <f aca="false">(A5+B5+C5)/3</f>
        <v>1816.66666666667</v>
      </c>
      <c r="E5" s="106" t="n">
        <v>0.1</v>
      </c>
      <c r="F5" s="107" t="n">
        <v>10</v>
      </c>
      <c r="G5" s="105" t="n">
        <f aca="false">(D5/F5)/12</f>
        <v>15.1388888888889</v>
      </c>
      <c r="H5" s="105" t="n">
        <f aca="false">G5/19</f>
        <v>0.796783625730994</v>
      </c>
      <c r="I5" s="125"/>
      <c r="J5" s="125"/>
    </row>
    <row r="6" customFormat="false" ht="14.05" hidden="false" customHeight="false" outlineLevel="0" collapsed="false">
      <c r="I6" s="125"/>
      <c r="J6" s="125"/>
    </row>
    <row r="7" customFormat="false" ht="15.25" hidden="false" customHeight="false" outlineLevel="0" collapsed="false">
      <c r="A7" s="100" t="s">
        <v>194</v>
      </c>
      <c r="B7" s="100"/>
      <c r="C7" s="100"/>
      <c r="D7" s="100"/>
      <c r="E7" s="100"/>
      <c r="F7" s="100"/>
      <c r="G7" s="100"/>
      <c r="H7" s="100"/>
      <c r="I7" s="125"/>
      <c r="J7" s="125"/>
    </row>
    <row r="8" customFormat="false" ht="15.25" hidden="false" customHeight="false" outlineLevel="0" collapsed="false">
      <c r="A8" s="102" t="s">
        <v>171</v>
      </c>
      <c r="B8" s="102" t="s">
        <v>172</v>
      </c>
      <c r="C8" s="102" t="s">
        <v>173</v>
      </c>
      <c r="D8" s="102" t="s">
        <v>174</v>
      </c>
      <c r="E8" s="102" t="s">
        <v>190</v>
      </c>
      <c r="F8" s="102" t="s">
        <v>191</v>
      </c>
      <c r="G8" s="102" t="s">
        <v>192</v>
      </c>
      <c r="H8" s="102" t="s">
        <v>193</v>
      </c>
      <c r="I8" s="125"/>
      <c r="J8" s="125"/>
    </row>
    <row r="9" customFormat="false" ht="15.25" hidden="false" customHeight="false" outlineLevel="0" collapsed="false">
      <c r="A9" s="105" t="n">
        <v>150</v>
      </c>
      <c r="B9" s="105" t="n">
        <v>150</v>
      </c>
      <c r="C9" s="105" t="n">
        <v>150</v>
      </c>
      <c r="D9" s="105" t="n">
        <f aca="false">(A9+B9+C9)/3</f>
        <v>150</v>
      </c>
      <c r="E9" s="106" t="n">
        <v>0.1</v>
      </c>
      <c r="F9" s="107" t="n">
        <v>10</v>
      </c>
      <c r="G9" s="105" t="n">
        <f aca="false">(D9/F9)/12*9</f>
        <v>11.25</v>
      </c>
      <c r="H9" s="105" t="n">
        <f aca="false">G9/18</f>
        <v>0.625</v>
      </c>
      <c r="I9" s="125"/>
      <c r="J9" s="125"/>
    </row>
    <row r="10" customFormat="false" ht="14.05" hidden="false" customHeight="false" outlineLevel="0" collapsed="false">
      <c r="I10" s="125"/>
      <c r="J10" s="125"/>
    </row>
    <row r="11" customFormat="false" ht="15.25" hidden="false" customHeight="false" outlineLevel="0" collapsed="false">
      <c r="A11" s="100" t="s">
        <v>197</v>
      </c>
      <c r="B11" s="100"/>
      <c r="C11" s="100"/>
      <c r="D11" s="100"/>
      <c r="E11" s="100"/>
      <c r="F11" s="100"/>
      <c r="G11" s="100"/>
      <c r="H11" s="100"/>
      <c r="I11" s="125"/>
      <c r="J11" s="125"/>
    </row>
    <row r="12" customFormat="false" ht="15.25" hidden="false" customHeight="false" outlineLevel="0" collapsed="false">
      <c r="A12" s="102" t="s">
        <v>171</v>
      </c>
      <c r="B12" s="102" t="s">
        <v>172</v>
      </c>
      <c r="C12" s="102" t="s">
        <v>173</v>
      </c>
      <c r="D12" s="102" t="s">
        <v>174</v>
      </c>
      <c r="E12" s="102" t="s">
        <v>190</v>
      </c>
      <c r="F12" s="102" t="s">
        <v>191</v>
      </c>
      <c r="G12" s="102" t="s">
        <v>192</v>
      </c>
      <c r="H12" s="102" t="s">
        <v>193</v>
      </c>
      <c r="I12" s="125"/>
      <c r="J12" s="125"/>
    </row>
    <row r="13" customFormat="false" ht="15.25" hidden="false" customHeight="false" outlineLevel="0" collapsed="false">
      <c r="A13" s="105" t="n">
        <v>989</v>
      </c>
      <c r="B13" s="105" t="n">
        <v>1124.57</v>
      </c>
      <c r="C13" s="105" t="n">
        <v>1180</v>
      </c>
      <c r="D13" s="105" t="n">
        <f aca="false">(A13+B13+C13)/3</f>
        <v>1097.85666666667</v>
      </c>
      <c r="E13" s="106" t="n">
        <v>0.1</v>
      </c>
      <c r="F13" s="107" t="n">
        <v>10</v>
      </c>
      <c r="G13" s="105" t="n">
        <f aca="false">(D13/F13)/12</f>
        <v>9.14880555555556</v>
      </c>
      <c r="H13" s="105" t="n">
        <f aca="false">G13/19</f>
        <v>0.481516081871345</v>
      </c>
      <c r="I13" s="125"/>
      <c r="J13" s="125"/>
    </row>
    <row r="14" customFormat="false" ht="14.05" hidden="false" customHeight="false" outlineLevel="0" collapsed="false">
      <c r="I14" s="125"/>
      <c r="J14" s="125"/>
    </row>
    <row r="15" customFormat="false" ht="15.25" hidden="false" customHeight="false" outlineLevel="0" collapsed="false">
      <c r="A15" s="100" t="s">
        <v>198</v>
      </c>
      <c r="B15" s="100"/>
      <c r="C15" s="100"/>
      <c r="D15" s="100"/>
      <c r="E15" s="100"/>
      <c r="F15" s="100"/>
      <c r="G15" s="100"/>
      <c r="H15" s="100"/>
      <c r="I15" s="125"/>
      <c r="J15" s="125"/>
    </row>
    <row r="16" customFormat="false" ht="15.25" hidden="false" customHeight="false" outlineLevel="0" collapsed="false">
      <c r="A16" s="102" t="s">
        <v>171</v>
      </c>
      <c r="B16" s="102" t="s">
        <v>172</v>
      </c>
      <c r="C16" s="102" t="s">
        <v>173</v>
      </c>
      <c r="D16" s="102" t="s">
        <v>174</v>
      </c>
      <c r="E16" s="102" t="s">
        <v>190</v>
      </c>
      <c r="F16" s="102" t="s">
        <v>191</v>
      </c>
      <c r="G16" s="102" t="s">
        <v>192</v>
      </c>
      <c r="H16" s="102" t="s">
        <v>193</v>
      </c>
      <c r="I16" s="125"/>
      <c r="J16" s="125"/>
    </row>
    <row r="17" customFormat="false" ht="15.25" hidden="false" customHeight="false" outlineLevel="0" collapsed="false">
      <c r="A17" s="105" t="n">
        <v>1050</v>
      </c>
      <c r="B17" s="105" t="n">
        <v>1050</v>
      </c>
      <c r="C17" s="105" t="n">
        <v>1050</v>
      </c>
      <c r="D17" s="105" t="n">
        <f aca="false">(A17+B17+C17)/3</f>
        <v>1050</v>
      </c>
      <c r="E17" s="106" t="n">
        <v>0.2</v>
      </c>
      <c r="F17" s="107" t="n">
        <v>5</v>
      </c>
      <c r="G17" s="105" t="n">
        <f aca="false">(D17/F17)/12*5</f>
        <v>87.5</v>
      </c>
      <c r="H17" s="105" t="n">
        <f aca="false">G17/18</f>
        <v>4.86111111111111</v>
      </c>
      <c r="I17" s="125"/>
      <c r="J17" s="125"/>
    </row>
    <row r="18" customFormat="false" ht="14.05" hidden="false" customHeight="false" outlineLevel="0" collapsed="false">
      <c r="I18" s="125"/>
      <c r="J18" s="125"/>
    </row>
    <row r="19" customFormat="false" ht="15.25" hidden="false" customHeight="false" outlineLevel="0" collapsed="false">
      <c r="A19" s="100" t="s">
        <v>199</v>
      </c>
      <c r="B19" s="100"/>
      <c r="C19" s="100"/>
      <c r="D19" s="100"/>
      <c r="E19" s="100"/>
      <c r="F19" s="100"/>
      <c r="G19" s="100"/>
      <c r="H19" s="100"/>
      <c r="I19" s="125"/>
      <c r="J19" s="125"/>
    </row>
    <row r="20" customFormat="false" ht="15.25" hidden="false" customHeight="false" outlineLevel="0" collapsed="false">
      <c r="A20" s="102" t="s">
        <v>171</v>
      </c>
      <c r="B20" s="102" t="s">
        <v>172</v>
      </c>
      <c r="C20" s="102" t="s">
        <v>173</v>
      </c>
      <c r="D20" s="102" t="s">
        <v>174</v>
      </c>
      <c r="E20" s="102" t="s">
        <v>190</v>
      </c>
      <c r="F20" s="102" t="s">
        <v>191</v>
      </c>
      <c r="G20" s="102" t="s">
        <v>192</v>
      </c>
      <c r="H20" s="102" t="s">
        <v>193</v>
      </c>
      <c r="I20" s="125"/>
      <c r="J20" s="125"/>
    </row>
    <row r="21" customFormat="false" ht="15.25" hidden="false" customHeight="false" outlineLevel="0" collapsed="false">
      <c r="A21" s="105" t="n">
        <v>180</v>
      </c>
      <c r="B21" s="105" t="n">
        <v>150</v>
      </c>
      <c r="C21" s="105" t="n">
        <v>175</v>
      </c>
      <c r="D21" s="105" t="n">
        <f aca="false">(A21+B21+C21)/3</f>
        <v>168.333333333333</v>
      </c>
      <c r="E21" s="106" t="n">
        <v>0.25</v>
      </c>
      <c r="F21" s="107" t="n">
        <v>4</v>
      </c>
      <c r="G21" s="105" t="n">
        <f aca="false">(D21/F21)/12*5</f>
        <v>17.5347222222222</v>
      </c>
      <c r="H21" s="105" t="n">
        <f aca="false">G21/18</f>
        <v>0.974151234567901</v>
      </c>
      <c r="I21" s="125"/>
      <c r="J21" s="125"/>
    </row>
    <row r="22" customFormat="false" ht="14.05" hidden="false" customHeight="false" outlineLevel="0" collapsed="false">
      <c r="I22" s="125"/>
      <c r="J22" s="125"/>
    </row>
    <row r="23" customFormat="false" ht="15.25" hidden="false" customHeight="false" outlineLevel="0" collapsed="false">
      <c r="A23" s="100" t="s">
        <v>224</v>
      </c>
      <c r="B23" s="100"/>
      <c r="C23" s="100"/>
      <c r="D23" s="100"/>
      <c r="E23" s="100"/>
      <c r="F23" s="100"/>
      <c r="G23" s="100"/>
      <c r="H23" s="100"/>
      <c r="I23" s="125"/>
      <c r="J23" s="125"/>
    </row>
    <row r="24" customFormat="false" ht="15.25" hidden="false" customHeight="false" outlineLevel="0" collapsed="false">
      <c r="A24" s="102" t="s">
        <v>171</v>
      </c>
      <c r="B24" s="102" t="s">
        <v>172</v>
      </c>
      <c r="C24" s="102" t="s">
        <v>173</v>
      </c>
      <c r="D24" s="102" t="s">
        <v>174</v>
      </c>
      <c r="E24" s="102" t="s">
        <v>190</v>
      </c>
      <c r="F24" s="102" t="s">
        <v>191</v>
      </c>
      <c r="G24" s="102" t="s">
        <v>192</v>
      </c>
      <c r="H24" s="102" t="s">
        <v>193</v>
      </c>
      <c r="I24" s="125"/>
      <c r="J24" s="125"/>
    </row>
    <row r="25" customFormat="false" ht="15.25" hidden="false" customHeight="false" outlineLevel="0" collapsed="false">
      <c r="A25" s="105" t="n">
        <v>10</v>
      </c>
      <c r="B25" s="105" t="n">
        <v>10</v>
      </c>
      <c r="C25" s="105" t="n">
        <v>10</v>
      </c>
      <c r="D25" s="105" t="n">
        <f aca="false">(A25+B25+C25)/3</f>
        <v>10</v>
      </c>
      <c r="E25" s="106" t="n">
        <v>0.25</v>
      </c>
      <c r="F25" s="107" t="n">
        <v>4</v>
      </c>
      <c r="G25" s="105" t="n">
        <f aca="false">(D25/F25)/12*5</f>
        <v>1.04166666666667</v>
      </c>
      <c r="H25" s="105" t="n">
        <f aca="false">G25/19</f>
        <v>0.0548245614035088</v>
      </c>
      <c r="I25" s="125"/>
      <c r="J25" s="125"/>
    </row>
    <row r="26" customFormat="false" ht="14.05" hidden="false" customHeight="false" outlineLevel="0" collapsed="false">
      <c r="I26" s="125"/>
      <c r="J26" s="125"/>
    </row>
    <row r="27" customFormat="false" ht="15.25" hidden="false" customHeight="false" outlineLevel="0" collapsed="false">
      <c r="A27" s="100" t="s">
        <v>201</v>
      </c>
      <c r="B27" s="100"/>
      <c r="C27" s="100"/>
      <c r="D27" s="100"/>
      <c r="E27" s="100"/>
      <c r="F27" s="100"/>
      <c r="G27" s="100"/>
      <c r="H27" s="100"/>
      <c r="I27" s="125"/>
      <c r="J27" s="125"/>
    </row>
    <row r="28" customFormat="false" ht="15.25" hidden="false" customHeight="false" outlineLevel="0" collapsed="false">
      <c r="A28" s="102" t="s">
        <v>171</v>
      </c>
      <c r="B28" s="102" t="s">
        <v>172</v>
      </c>
      <c r="C28" s="102" t="s">
        <v>173</v>
      </c>
      <c r="D28" s="102" t="s">
        <v>174</v>
      </c>
      <c r="E28" s="102" t="s">
        <v>190</v>
      </c>
      <c r="F28" s="102" t="s">
        <v>191</v>
      </c>
      <c r="G28" s="102" t="s">
        <v>192</v>
      </c>
      <c r="H28" s="102" t="s">
        <v>193</v>
      </c>
      <c r="I28" s="125"/>
      <c r="J28" s="125"/>
    </row>
    <row r="29" customFormat="false" ht="15.25" hidden="false" customHeight="false" outlineLevel="0" collapsed="false">
      <c r="A29" s="105" t="n">
        <v>53.02</v>
      </c>
      <c r="B29" s="105" t="n">
        <v>53.02</v>
      </c>
      <c r="C29" s="105" t="n">
        <v>53.02</v>
      </c>
      <c r="D29" s="105" t="n">
        <f aca="false">(A29+B29+C29)/3</f>
        <v>53.02</v>
      </c>
      <c r="E29" s="106" t="n">
        <v>0.25</v>
      </c>
      <c r="F29" s="126" t="n">
        <v>4</v>
      </c>
      <c r="G29" s="105" t="n">
        <f aca="false">(D29/F29)/12*5</f>
        <v>5.52291666666667</v>
      </c>
      <c r="H29" s="105" t="n">
        <f aca="false">G29/19</f>
        <v>0.290679824561403</v>
      </c>
      <c r="I29" s="125"/>
      <c r="J29" s="125"/>
    </row>
    <row r="30" customFormat="false" ht="14.05" hidden="false" customHeight="false" outlineLevel="0" collapsed="false">
      <c r="I30" s="125"/>
      <c r="J30" s="125"/>
    </row>
    <row r="31" customFormat="false" ht="15.25" hidden="false" customHeight="false" outlineLevel="0" collapsed="false">
      <c r="A31" s="100" t="s">
        <v>202</v>
      </c>
      <c r="B31" s="100"/>
      <c r="C31" s="100"/>
      <c r="D31" s="100"/>
      <c r="E31" s="100"/>
      <c r="F31" s="100"/>
      <c r="G31" s="100"/>
      <c r="H31" s="100"/>
      <c r="I31" s="125"/>
      <c r="J31" s="125"/>
    </row>
    <row r="32" customFormat="false" ht="15.25" hidden="false" customHeight="false" outlineLevel="0" collapsed="false">
      <c r="A32" s="102" t="s">
        <v>171</v>
      </c>
      <c r="B32" s="102" t="s">
        <v>172</v>
      </c>
      <c r="C32" s="102" t="s">
        <v>173</v>
      </c>
      <c r="D32" s="102" t="s">
        <v>174</v>
      </c>
      <c r="E32" s="102" t="s">
        <v>190</v>
      </c>
      <c r="F32" s="102" t="s">
        <v>191</v>
      </c>
      <c r="G32" s="102" t="s">
        <v>192</v>
      </c>
      <c r="H32" s="102" t="s">
        <v>192</v>
      </c>
      <c r="I32" s="125"/>
      <c r="J32" s="125"/>
    </row>
    <row r="33" customFormat="false" ht="15.25" hidden="false" customHeight="false" outlineLevel="0" collapsed="false">
      <c r="A33" s="105" t="n">
        <v>100</v>
      </c>
      <c r="B33" s="105" t="n">
        <v>80</v>
      </c>
      <c r="C33" s="105" t="n">
        <v>100</v>
      </c>
      <c r="D33" s="105" t="n">
        <f aca="false">(A33+B33+C33)/3</f>
        <v>93.3333333333333</v>
      </c>
      <c r="E33" s="106" t="n">
        <v>0.2</v>
      </c>
      <c r="F33" s="107" t="n">
        <v>5</v>
      </c>
      <c r="G33" s="105" t="n">
        <f aca="false">(D33/F33)/12*5</f>
        <v>7.77777777777778</v>
      </c>
      <c r="H33" s="105" t="n">
        <f aca="false">G33/18</f>
        <v>0.432098765432099</v>
      </c>
      <c r="I33" s="125"/>
      <c r="J33" s="125"/>
    </row>
    <row r="34" customFormat="false" ht="14.05" hidden="false" customHeight="false" outlineLevel="0" collapsed="false">
      <c r="I34" s="125"/>
      <c r="J34" s="125"/>
    </row>
    <row r="35" customFormat="false" ht="15.25" hidden="false" customHeight="false" outlineLevel="0" collapsed="false">
      <c r="A35" s="100" t="s">
        <v>203</v>
      </c>
      <c r="B35" s="100"/>
      <c r="C35" s="100"/>
      <c r="D35" s="100"/>
      <c r="E35" s="100"/>
      <c r="F35" s="100"/>
      <c r="G35" s="100"/>
      <c r="H35" s="100"/>
      <c r="I35" s="125"/>
      <c r="J35" s="125"/>
    </row>
    <row r="36" customFormat="false" ht="15.25" hidden="false" customHeight="false" outlineLevel="0" collapsed="false">
      <c r="A36" s="102" t="s">
        <v>171</v>
      </c>
      <c r="B36" s="102" t="s">
        <v>172</v>
      </c>
      <c r="C36" s="102" t="s">
        <v>173</v>
      </c>
      <c r="D36" s="102" t="s">
        <v>174</v>
      </c>
      <c r="E36" s="102" t="s">
        <v>190</v>
      </c>
      <c r="F36" s="102" t="s">
        <v>191</v>
      </c>
      <c r="G36" s="102" t="s">
        <v>192</v>
      </c>
      <c r="H36" s="102" t="s">
        <v>193</v>
      </c>
      <c r="I36" s="125"/>
      <c r="J36" s="125"/>
    </row>
    <row r="37" customFormat="false" ht="15.25" hidden="false" customHeight="false" outlineLevel="0" collapsed="false">
      <c r="A37" s="105" t="n">
        <v>1100</v>
      </c>
      <c r="B37" s="105" t="n">
        <v>900</v>
      </c>
      <c r="C37" s="105" t="n">
        <v>1200</v>
      </c>
      <c r="D37" s="105" t="n">
        <f aca="false">(A37+B37+C37)/3</f>
        <v>1066.66666666667</v>
      </c>
      <c r="E37" s="106" t="n">
        <v>0.2</v>
      </c>
      <c r="F37" s="107" t="n">
        <v>5</v>
      </c>
      <c r="G37" s="105" t="n">
        <f aca="false">(D37/F37)/12*5</f>
        <v>88.8888888888889</v>
      </c>
      <c r="H37" s="105" t="n">
        <f aca="false">G37/18</f>
        <v>4.93827160493827</v>
      </c>
      <c r="I37" s="125"/>
      <c r="J37" s="125"/>
    </row>
    <row r="38" customFormat="false" ht="14.05" hidden="false" customHeight="false" outlineLevel="0" collapsed="false">
      <c r="I38" s="125"/>
      <c r="J38" s="125"/>
    </row>
    <row r="39" customFormat="false" ht="15.25" hidden="false" customHeight="false" outlineLevel="0" collapsed="false">
      <c r="A39" s="100" t="s">
        <v>225</v>
      </c>
      <c r="B39" s="100"/>
      <c r="C39" s="100"/>
      <c r="D39" s="100"/>
      <c r="E39" s="100"/>
      <c r="F39" s="100"/>
      <c r="G39" s="100"/>
      <c r="H39" s="100"/>
      <c r="I39" s="125"/>
      <c r="J39" s="125"/>
    </row>
    <row r="40" customFormat="false" ht="15.25" hidden="false" customHeight="false" outlineLevel="0" collapsed="false">
      <c r="A40" s="102" t="s">
        <v>171</v>
      </c>
      <c r="B40" s="102" t="s">
        <v>172</v>
      </c>
      <c r="C40" s="102" t="s">
        <v>173</v>
      </c>
      <c r="D40" s="102" t="s">
        <v>174</v>
      </c>
      <c r="E40" s="102" t="s">
        <v>190</v>
      </c>
      <c r="F40" s="102" t="s">
        <v>191</v>
      </c>
      <c r="G40" s="102" t="s">
        <v>192</v>
      </c>
      <c r="H40" s="102" t="s">
        <v>193</v>
      </c>
      <c r="I40" s="125"/>
      <c r="J40" s="125"/>
    </row>
    <row r="41" customFormat="false" ht="15.25" hidden="false" customHeight="false" outlineLevel="0" collapsed="false">
      <c r="A41" s="105" t="n">
        <v>134.46</v>
      </c>
      <c r="B41" s="105" t="n">
        <v>109.81</v>
      </c>
      <c r="C41" s="105" t="n">
        <v>143.1</v>
      </c>
      <c r="D41" s="105" t="n">
        <f aca="false">(A41+B41+C41)/3</f>
        <v>129.123333333333</v>
      </c>
      <c r="E41" s="106" t="n">
        <v>0.2</v>
      </c>
      <c r="F41" s="107" t="n">
        <v>5</v>
      </c>
      <c r="G41" s="105" t="n">
        <f aca="false">(D41/F41)/12*5</f>
        <v>10.7602777777778</v>
      </c>
      <c r="H41" s="105" t="n">
        <f aca="false">G41/19</f>
        <v>0.566330409356725</v>
      </c>
      <c r="I41" s="125"/>
      <c r="J41" s="125"/>
    </row>
    <row r="42" customFormat="false" ht="15.25" hidden="false" customHeight="false" outlineLevel="0" collapsed="false">
      <c r="A42" s="105"/>
      <c r="B42" s="105"/>
      <c r="C42" s="105"/>
      <c r="D42" s="105"/>
      <c r="E42" s="106"/>
      <c r="F42" s="106"/>
      <c r="G42" s="105"/>
      <c r="H42" s="105"/>
      <c r="I42" s="125"/>
      <c r="J42" s="125"/>
    </row>
    <row r="43" customFormat="false" ht="15.25" hidden="false" customHeight="false" outlineLevel="0" collapsed="false">
      <c r="A43" s="100" t="s">
        <v>205</v>
      </c>
      <c r="B43" s="100"/>
      <c r="C43" s="100"/>
      <c r="D43" s="100"/>
      <c r="E43" s="100"/>
      <c r="F43" s="100"/>
      <c r="G43" s="100"/>
      <c r="H43" s="100"/>
      <c r="I43" s="125"/>
      <c r="J43" s="125"/>
    </row>
    <row r="44" customFormat="false" ht="15.25" hidden="false" customHeight="false" outlineLevel="0" collapsed="false">
      <c r="A44" s="102" t="s">
        <v>171</v>
      </c>
      <c r="B44" s="102" t="s">
        <v>172</v>
      </c>
      <c r="C44" s="102" t="s">
        <v>173</v>
      </c>
      <c r="D44" s="102" t="s">
        <v>174</v>
      </c>
      <c r="E44" s="102" t="s">
        <v>190</v>
      </c>
      <c r="F44" s="102" t="s">
        <v>191</v>
      </c>
      <c r="G44" s="102" t="s">
        <v>192</v>
      </c>
      <c r="H44" s="102" t="s">
        <v>193</v>
      </c>
      <c r="I44" s="125"/>
      <c r="J44" s="125"/>
    </row>
    <row r="45" customFormat="false" ht="15.25" hidden="false" customHeight="false" outlineLevel="0" collapsed="false">
      <c r="A45" s="105" t="n">
        <v>17</v>
      </c>
      <c r="B45" s="105" t="n">
        <v>17</v>
      </c>
      <c r="C45" s="105" t="n">
        <v>17</v>
      </c>
      <c r="D45" s="105" t="n">
        <f aca="false">(A45+B45+C45)/3</f>
        <v>17</v>
      </c>
      <c r="E45" s="106" t="n">
        <v>0.2</v>
      </c>
      <c r="F45" s="107" t="n">
        <v>5</v>
      </c>
      <c r="G45" s="105" t="n">
        <f aca="false">(D45/F45)/12*3</f>
        <v>0.85</v>
      </c>
      <c r="H45" s="105" t="n">
        <f aca="false">G45/19</f>
        <v>0.0447368421052632</v>
      </c>
      <c r="I45" s="125"/>
      <c r="J45" s="125"/>
    </row>
    <row r="46" customFormat="false" ht="15.25" hidden="false" customHeight="false" outlineLevel="0" collapsed="false">
      <c r="A46" s="105"/>
      <c r="B46" s="105"/>
      <c r="C46" s="105"/>
      <c r="D46" s="105"/>
      <c r="E46" s="106"/>
      <c r="F46" s="106"/>
      <c r="G46" s="105"/>
      <c r="H46" s="105"/>
      <c r="I46" s="125"/>
      <c r="J46" s="125"/>
    </row>
    <row r="47" customFormat="false" ht="15.25" hidden="false" customHeight="false" outlineLevel="0" collapsed="false">
      <c r="A47" s="100" t="s">
        <v>206</v>
      </c>
      <c r="B47" s="100"/>
      <c r="C47" s="100"/>
      <c r="D47" s="100"/>
      <c r="E47" s="100"/>
      <c r="F47" s="100"/>
      <c r="G47" s="100"/>
      <c r="H47" s="100"/>
      <c r="I47" s="125"/>
      <c r="J47" s="125"/>
    </row>
    <row r="48" customFormat="false" ht="15.25" hidden="false" customHeight="false" outlineLevel="0" collapsed="false">
      <c r="A48" s="102" t="s">
        <v>171</v>
      </c>
      <c r="B48" s="102" t="s">
        <v>172</v>
      </c>
      <c r="C48" s="102" t="s">
        <v>173</v>
      </c>
      <c r="D48" s="102" t="s">
        <v>174</v>
      </c>
      <c r="E48" s="102" t="s">
        <v>190</v>
      </c>
      <c r="F48" s="102" t="s">
        <v>191</v>
      </c>
      <c r="G48" s="102" t="s">
        <v>192</v>
      </c>
      <c r="H48" s="102" t="s">
        <v>193</v>
      </c>
      <c r="I48" s="125"/>
      <c r="J48" s="125"/>
    </row>
    <row r="49" customFormat="false" ht="15.25" hidden="false" customHeight="false" outlineLevel="0" collapsed="false">
      <c r="A49" s="105" t="n">
        <v>6</v>
      </c>
      <c r="B49" s="105" t="n">
        <v>6</v>
      </c>
      <c r="C49" s="105" t="n">
        <v>6</v>
      </c>
      <c r="D49" s="105" t="n">
        <f aca="false">(A49+B49+C49)/3</f>
        <v>6</v>
      </c>
      <c r="E49" s="106" t="n">
        <v>1</v>
      </c>
      <c r="F49" s="107" t="n">
        <v>1</v>
      </c>
      <c r="G49" s="105" t="n">
        <f aca="false">(D49/F49)/12*57</f>
        <v>28.5</v>
      </c>
      <c r="H49" s="105" t="n">
        <f aca="false">G49/19</f>
        <v>1.5</v>
      </c>
      <c r="I49" s="125"/>
      <c r="J49" s="125"/>
    </row>
    <row r="50" customFormat="false" ht="15.25" hidden="false" customHeight="false" outlineLevel="0" collapsed="false">
      <c r="A50" s="105"/>
      <c r="B50" s="105"/>
      <c r="C50" s="105"/>
      <c r="D50" s="105"/>
      <c r="E50" s="106"/>
      <c r="F50" s="106"/>
      <c r="G50" s="105"/>
      <c r="H50" s="105"/>
      <c r="I50" s="125"/>
      <c r="J50" s="125"/>
    </row>
    <row r="51" customFormat="false" ht="15.25" hidden="false" customHeight="false" outlineLevel="0" collapsed="false">
      <c r="A51" s="100" t="s">
        <v>226</v>
      </c>
      <c r="B51" s="100"/>
      <c r="C51" s="100"/>
      <c r="D51" s="100"/>
      <c r="E51" s="100"/>
      <c r="F51" s="100"/>
      <c r="G51" s="100"/>
      <c r="H51" s="100"/>
      <c r="I51" s="125"/>
      <c r="J51" s="125"/>
    </row>
    <row r="52" customFormat="false" ht="15.25" hidden="false" customHeight="false" outlineLevel="0" collapsed="false">
      <c r="A52" s="102" t="s">
        <v>171</v>
      </c>
      <c r="B52" s="102" t="s">
        <v>172</v>
      </c>
      <c r="C52" s="102" t="s">
        <v>173</v>
      </c>
      <c r="D52" s="102" t="s">
        <v>174</v>
      </c>
      <c r="E52" s="102" t="s">
        <v>190</v>
      </c>
      <c r="F52" s="102" t="s">
        <v>191</v>
      </c>
      <c r="G52" s="102" t="s">
        <v>192</v>
      </c>
      <c r="H52" s="102" t="s">
        <v>193</v>
      </c>
      <c r="I52" s="125"/>
      <c r="J52" s="125"/>
    </row>
    <row r="53" customFormat="false" ht="15.25" hidden="false" customHeight="false" outlineLevel="0" collapsed="false">
      <c r="A53" s="105" t="n">
        <v>170.1</v>
      </c>
      <c r="B53" s="105" t="n">
        <v>140.7</v>
      </c>
      <c r="C53" s="105" t="n">
        <v>161.9</v>
      </c>
      <c r="D53" s="105" t="n">
        <f aca="false">(A53+B53+C53)/3</f>
        <v>157.566666666667</v>
      </c>
      <c r="E53" s="106" t="n">
        <v>1</v>
      </c>
      <c r="F53" s="107" t="n">
        <v>1</v>
      </c>
      <c r="G53" s="105" t="n">
        <f aca="false">(D53/F53)/12*27</f>
        <v>354.525</v>
      </c>
      <c r="H53" s="105" t="n">
        <f aca="false">G53/9</f>
        <v>39.3916666666667</v>
      </c>
      <c r="I53" s="125"/>
      <c r="J53" s="125"/>
    </row>
    <row r="54" customFormat="false" ht="15.25" hidden="false" customHeight="false" outlineLevel="0" collapsed="false">
      <c r="A54" s="105"/>
      <c r="B54" s="105"/>
      <c r="C54" s="105"/>
      <c r="D54" s="105"/>
      <c r="E54" s="106"/>
      <c r="F54" s="106"/>
      <c r="G54" s="105"/>
      <c r="H54" s="105"/>
      <c r="I54" s="125"/>
      <c r="J54" s="125"/>
    </row>
    <row r="55" customFormat="false" ht="15.25" hidden="false" customHeight="false" outlineLevel="0" collapsed="false">
      <c r="A55" s="100" t="s">
        <v>227</v>
      </c>
      <c r="B55" s="100"/>
      <c r="C55" s="100"/>
      <c r="D55" s="100"/>
      <c r="E55" s="100"/>
      <c r="F55" s="100"/>
      <c r="G55" s="100"/>
      <c r="H55" s="100"/>
      <c r="I55" s="125"/>
      <c r="J55" s="125"/>
    </row>
    <row r="56" customFormat="false" ht="15.25" hidden="false" customHeight="false" outlineLevel="0" collapsed="false">
      <c r="A56" s="102" t="s">
        <v>171</v>
      </c>
      <c r="B56" s="102" t="s">
        <v>172</v>
      </c>
      <c r="C56" s="102" t="s">
        <v>173</v>
      </c>
      <c r="D56" s="102" t="s">
        <v>174</v>
      </c>
      <c r="E56" s="102" t="s">
        <v>190</v>
      </c>
      <c r="F56" s="102" t="s">
        <v>191</v>
      </c>
      <c r="G56" s="102" t="s">
        <v>192</v>
      </c>
      <c r="H56" s="102" t="s">
        <v>193</v>
      </c>
      <c r="I56" s="125"/>
      <c r="J56" s="125"/>
    </row>
    <row r="57" customFormat="false" ht="15.25" hidden="false" customHeight="false" outlineLevel="0" collapsed="false">
      <c r="A57" s="105" t="n">
        <v>170</v>
      </c>
      <c r="B57" s="105" t="n">
        <v>210</v>
      </c>
      <c r="C57" s="105" t="n">
        <v>185</v>
      </c>
      <c r="D57" s="105" t="n">
        <f aca="false">(A57+B57+C57)/3</f>
        <v>188.333333333333</v>
      </c>
      <c r="E57" s="106" t="n">
        <v>1</v>
      </c>
      <c r="F57" s="107" t="n">
        <v>1</v>
      </c>
      <c r="G57" s="105" t="n">
        <f aca="false">(D57/F57)/12*54</f>
        <v>847.5</v>
      </c>
      <c r="H57" s="105" t="n">
        <f aca="false">G57/9</f>
        <v>94.1666666666667</v>
      </c>
      <c r="I57" s="125"/>
      <c r="J57" s="125"/>
    </row>
    <row r="58" customFormat="false" ht="15.25" hidden="false" customHeight="false" outlineLevel="0" collapsed="false">
      <c r="A58" s="105"/>
      <c r="B58" s="105"/>
      <c r="C58" s="105"/>
      <c r="D58" s="105"/>
      <c r="E58" s="106"/>
      <c r="F58" s="106"/>
      <c r="G58" s="105"/>
      <c r="H58" s="105"/>
      <c r="I58" s="125"/>
      <c r="J58" s="125"/>
    </row>
    <row r="59" customFormat="false" ht="15.25" hidden="false" customHeight="false" outlineLevel="0" collapsed="false">
      <c r="A59" s="100" t="s">
        <v>208</v>
      </c>
      <c r="B59" s="100"/>
      <c r="C59" s="100"/>
      <c r="D59" s="100"/>
      <c r="E59" s="100"/>
      <c r="F59" s="100"/>
      <c r="G59" s="100"/>
      <c r="H59" s="100"/>
      <c r="I59" s="125"/>
      <c r="J59" s="125"/>
    </row>
    <row r="60" customFormat="false" ht="15.25" hidden="false" customHeight="false" outlineLevel="0" collapsed="false">
      <c r="A60" s="102" t="s">
        <v>171</v>
      </c>
      <c r="B60" s="102" t="s">
        <v>172</v>
      </c>
      <c r="C60" s="102" t="s">
        <v>173</v>
      </c>
      <c r="D60" s="102" t="s">
        <v>174</v>
      </c>
      <c r="E60" s="102" t="s">
        <v>190</v>
      </c>
      <c r="F60" s="102" t="s">
        <v>191</v>
      </c>
      <c r="G60" s="102" t="s">
        <v>192</v>
      </c>
      <c r="H60" s="102" t="s">
        <v>193</v>
      </c>
      <c r="I60" s="125"/>
      <c r="J60" s="125"/>
    </row>
    <row r="61" customFormat="false" ht="15.25" hidden="false" customHeight="false" outlineLevel="0" collapsed="false">
      <c r="A61" s="105" t="n">
        <v>15</v>
      </c>
      <c r="B61" s="105" t="n">
        <v>15</v>
      </c>
      <c r="C61" s="105" t="n">
        <v>15</v>
      </c>
      <c r="D61" s="105" t="n">
        <f aca="false">(A61+B61+C61)/3</f>
        <v>15</v>
      </c>
      <c r="E61" s="106" t="n">
        <v>1</v>
      </c>
      <c r="F61" s="107" t="n">
        <v>1</v>
      </c>
      <c r="G61" s="105" t="n">
        <f aca="false">(D61/F61)/12*114</f>
        <v>142.5</v>
      </c>
      <c r="H61" s="105" t="n">
        <f aca="false">G61/19</f>
        <v>7.5</v>
      </c>
      <c r="I61" s="125"/>
      <c r="J61" s="125"/>
    </row>
    <row r="62" customFormat="false" ht="15.25" hidden="false" customHeight="false" outlineLevel="0" collapsed="false">
      <c r="A62" s="105"/>
      <c r="B62" s="105"/>
      <c r="C62" s="105"/>
      <c r="D62" s="105"/>
      <c r="E62" s="106"/>
      <c r="F62" s="106"/>
      <c r="G62" s="105"/>
      <c r="H62" s="105"/>
      <c r="I62" s="125"/>
      <c r="J62" s="125"/>
    </row>
    <row r="63" customFormat="false" ht="15.25" hidden="false" customHeight="false" outlineLevel="0" collapsed="false">
      <c r="A63" s="100" t="s">
        <v>228</v>
      </c>
      <c r="B63" s="100"/>
      <c r="C63" s="100"/>
      <c r="D63" s="100"/>
      <c r="E63" s="100"/>
      <c r="F63" s="100"/>
      <c r="G63" s="100"/>
      <c r="H63" s="100"/>
      <c r="I63" s="125"/>
      <c r="J63" s="125"/>
    </row>
    <row r="64" customFormat="false" ht="15.25" hidden="false" customHeight="false" outlineLevel="0" collapsed="false">
      <c r="A64" s="102" t="s">
        <v>171</v>
      </c>
      <c r="B64" s="102" t="s">
        <v>172</v>
      </c>
      <c r="C64" s="102" t="s">
        <v>173</v>
      </c>
      <c r="D64" s="102" t="s">
        <v>174</v>
      </c>
      <c r="E64" s="102" t="s">
        <v>190</v>
      </c>
      <c r="F64" s="102" t="s">
        <v>191</v>
      </c>
      <c r="G64" s="102" t="s">
        <v>192</v>
      </c>
      <c r="H64" s="102" t="s">
        <v>193</v>
      </c>
      <c r="I64" s="125"/>
      <c r="J64" s="125"/>
    </row>
    <row r="65" customFormat="false" ht="15.25" hidden="false" customHeight="false" outlineLevel="0" collapsed="false">
      <c r="A65" s="105" t="n">
        <v>134.98</v>
      </c>
      <c r="B65" s="105" t="n">
        <v>155.4</v>
      </c>
      <c r="C65" s="105" t="n">
        <v>152.6</v>
      </c>
      <c r="D65" s="105" t="n">
        <f aca="false">(A65+B65+C65)/3</f>
        <v>147.66</v>
      </c>
      <c r="E65" s="106" t="n">
        <v>1</v>
      </c>
      <c r="F65" s="107" t="n">
        <v>1</v>
      </c>
      <c r="G65" s="105" t="n">
        <f aca="false">(D65/F65)/12*2</f>
        <v>24.61</v>
      </c>
      <c r="H65" s="105" t="n">
        <f aca="false">G65/9</f>
        <v>2.73444444444444</v>
      </c>
      <c r="I65" s="125"/>
      <c r="J65" s="125"/>
    </row>
    <row r="66" customFormat="false" ht="15.25" hidden="false" customHeight="false" outlineLevel="0" collapsed="false">
      <c r="A66" s="105"/>
      <c r="B66" s="105"/>
      <c r="C66" s="105"/>
      <c r="D66" s="105"/>
      <c r="E66" s="106"/>
      <c r="F66" s="106"/>
      <c r="G66" s="105"/>
      <c r="H66" s="105"/>
      <c r="I66" s="125"/>
      <c r="J66" s="125"/>
    </row>
    <row r="67" customFormat="false" ht="15.25" hidden="false" customHeight="false" outlineLevel="0" collapsed="false">
      <c r="A67" s="100" t="s">
        <v>210</v>
      </c>
      <c r="B67" s="100"/>
      <c r="C67" s="100"/>
      <c r="D67" s="100"/>
      <c r="E67" s="100"/>
      <c r="F67" s="100"/>
      <c r="G67" s="100"/>
      <c r="H67" s="100"/>
      <c r="I67" s="125"/>
      <c r="J67" s="125"/>
    </row>
    <row r="68" customFormat="false" ht="15.25" hidden="false" customHeight="false" outlineLevel="0" collapsed="false">
      <c r="A68" s="102" t="s">
        <v>171</v>
      </c>
      <c r="B68" s="102" t="s">
        <v>172</v>
      </c>
      <c r="C68" s="102" t="s">
        <v>173</v>
      </c>
      <c r="D68" s="102" t="s">
        <v>174</v>
      </c>
      <c r="E68" s="102" t="s">
        <v>190</v>
      </c>
      <c r="F68" s="102" t="s">
        <v>191</v>
      </c>
      <c r="G68" s="102" t="s">
        <v>192</v>
      </c>
      <c r="H68" s="102" t="s">
        <v>193</v>
      </c>
      <c r="I68" s="125"/>
      <c r="J68" s="125"/>
    </row>
    <row r="69" customFormat="false" ht="15.25" hidden="false" customHeight="false" outlineLevel="0" collapsed="false">
      <c r="A69" s="105" t="n">
        <v>10</v>
      </c>
      <c r="B69" s="105" t="n">
        <v>10</v>
      </c>
      <c r="C69" s="105" t="n">
        <v>10</v>
      </c>
      <c r="D69" s="105" t="n">
        <f aca="false">(A69+B69+C69)/3</f>
        <v>10</v>
      </c>
      <c r="E69" s="106" t="n">
        <v>1</v>
      </c>
      <c r="F69" s="107" t="n">
        <v>1</v>
      </c>
      <c r="G69" s="105" t="n">
        <f aca="false">(D69/F69)/12*57</f>
        <v>47.5</v>
      </c>
      <c r="H69" s="105" t="n">
        <f aca="false">G69/19</f>
        <v>2.5</v>
      </c>
      <c r="I69" s="125"/>
      <c r="J69" s="125"/>
    </row>
    <row r="70" customFormat="false" ht="15.25" hidden="false" customHeight="false" outlineLevel="0" collapsed="false">
      <c r="A70" s="105"/>
      <c r="B70" s="105"/>
      <c r="C70" s="105"/>
      <c r="D70" s="105"/>
      <c r="E70" s="106"/>
      <c r="F70" s="106"/>
      <c r="G70" s="105"/>
      <c r="H70" s="105"/>
      <c r="I70" s="125"/>
      <c r="J70" s="125"/>
    </row>
    <row r="71" customFormat="false" ht="15.25" hidden="false" customHeight="false" outlineLevel="0" collapsed="false">
      <c r="A71" s="100" t="s">
        <v>212</v>
      </c>
      <c r="B71" s="100"/>
      <c r="C71" s="100"/>
      <c r="D71" s="100"/>
      <c r="E71" s="100"/>
      <c r="F71" s="100"/>
      <c r="G71" s="100"/>
      <c r="H71" s="100"/>
      <c r="I71" s="125"/>
      <c r="J71" s="125"/>
    </row>
    <row r="72" customFormat="false" ht="15.25" hidden="false" customHeight="false" outlineLevel="0" collapsed="false">
      <c r="A72" s="102" t="s">
        <v>171</v>
      </c>
      <c r="B72" s="102" t="s">
        <v>172</v>
      </c>
      <c r="C72" s="102" t="s">
        <v>173</v>
      </c>
      <c r="D72" s="102" t="s">
        <v>174</v>
      </c>
      <c r="E72" s="102" t="s">
        <v>190</v>
      </c>
      <c r="F72" s="102" t="s">
        <v>191</v>
      </c>
      <c r="G72" s="102" t="s">
        <v>192</v>
      </c>
      <c r="H72" s="102" t="s">
        <v>193</v>
      </c>
      <c r="I72" s="125"/>
      <c r="J72" s="125"/>
    </row>
    <row r="73" customFormat="false" ht="15.25" hidden="false" customHeight="false" outlineLevel="0" collapsed="false">
      <c r="A73" s="105" t="n">
        <v>25</v>
      </c>
      <c r="B73" s="105" t="n">
        <v>25</v>
      </c>
      <c r="C73" s="105" t="n">
        <v>25</v>
      </c>
      <c r="D73" s="105" t="n">
        <f aca="false">(A73+B73+C73)/3</f>
        <v>25</v>
      </c>
      <c r="E73" s="106" t="n">
        <v>1</v>
      </c>
      <c r="F73" s="107" t="n">
        <v>1</v>
      </c>
      <c r="G73" s="105" t="n">
        <f aca="false">(D73/F73)/12*57</f>
        <v>118.75</v>
      </c>
      <c r="H73" s="105" t="n">
        <f aca="false">G73/19</f>
        <v>6.25</v>
      </c>
      <c r="I73" s="125"/>
      <c r="J73" s="125"/>
    </row>
    <row r="74" customFormat="false" ht="15.25" hidden="false" customHeight="false" outlineLevel="0" collapsed="false">
      <c r="A74" s="105"/>
      <c r="B74" s="105"/>
      <c r="C74" s="105"/>
      <c r="D74" s="105"/>
      <c r="E74" s="106"/>
      <c r="F74" s="106"/>
      <c r="G74" s="105"/>
      <c r="H74" s="105"/>
      <c r="I74" s="125"/>
      <c r="J74" s="125"/>
    </row>
    <row r="75" customFormat="false" ht="15.25" hidden="false" customHeight="false" outlineLevel="0" collapsed="false">
      <c r="A75" s="100" t="s">
        <v>213</v>
      </c>
      <c r="B75" s="100"/>
      <c r="C75" s="100"/>
      <c r="D75" s="100"/>
      <c r="E75" s="100"/>
      <c r="F75" s="100"/>
      <c r="G75" s="100"/>
      <c r="H75" s="100"/>
      <c r="I75" s="125"/>
      <c r="J75" s="125"/>
    </row>
    <row r="76" customFormat="false" ht="15.25" hidden="false" customHeight="false" outlineLevel="0" collapsed="false">
      <c r="A76" s="102" t="s">
        <v>171</v>
      </c>
      <c r="B76" s="102" t="s">
        <v>172</v>
      </c>
      <c r="C76" s="102" t="s">
        <v>173</v>
      </c>
      <c r="D76" s="102" t="s">
        <v>174</v>
      </c>
      <c r="E76" s="102" t="s">
        <v>190</v>
      </c>
      <c r="F76" s="102" t="s">
        <v>191</v>
      </c>
      <c r="G76" s="102" t="s">
        <v>192</v>
      </c>
      <c r="H76" s="102" t="s">
        <v>193</v>
      </c>
      <c r="I76" s="125"/>
      <c r="J76" s="125"/>
    </row>
    <row r="77" customFormat="false" ht="15.25" hidden="false" customHeight="false" outlineLevel="0" collapsed="false">
      <c r="A77" s="105" t="n">
        <v>50</v>
      </c>
      <c r="B77" s="105" t="n">
        <v>35</v>
      </c>
      <c r="C77" s="105" t="n">
        <v>45</v>
      </c>
      <c r="D77" s="105" t="n">
        <f aca="false">(A77+B77+C77)/3</f>
        <v>43.3333333333333</v>
      </c>
      <c r="E77" s="106" t="n">
        <v>1</v>
      </c>
      <c r="F77" s="107" t="n">
        <v>1</v>
      </c>
      <c r="G77" s="105" t="n">
        <f aca="false">(D77/F77)/12*57</f>
        <v>205.833333333333</v>
      </c>
      <c r="H77" s="105" t="n">
        <f aca="false">G77/19</f>
        <v>10.8333333333333</v>
      </c>
      <c r="I77" s="125"/>
      <c r="J77" s="125"/>
    </row>
    <row r="78" customFormat="false" ht="15.25" hidden="false" customHeight="false" outlineLevel="0" collapsed="false">
      <c r="A78" s="105"/>
      <c r="B78" s="105"/>
      <c r="C78" s="105"/>
      <c r="D78" s="105"/>
      <c r="E78" s="106"/>
      <c r="F78" s="106"/>
      <c r="G78" s="105"/>
      <c r="H78" s="105"/>
      <c r="I78" s="125"/>
      <c r="J78" s="125"/>
    </row>
    <row r="79" customFormat="false" ht="15.25" hidden="false" customHeight="false" outlineLevel="0" collapsed="false">
      <c r="A79" s="100" t="s">
        <v>229</v>
      </c>
      <c r="B79" s="100"/>
      <c r="C79" s="100"/>
      <c r="D79" s="100"/>
      <c r="E79" s="100"/>
      <c r="F79" s="100"/>
      <c r="G79" s="100"/>
      <c r="H79" s="100"/>
      <c r="I79" s="125"/>
      <c r="J79" s="125"/>
    </row>
    <row r="80" customFormat="false" ht="15.25" hidden="false" customHeight="false" outlineLevel="0" collapsed="false">
      <c r="A80" s="102" t="s">
        <v>171</v>
      </c>
      <c r="B80" s="102" t="s">
        <v>172</v>
      </c>
      <c r="C80" s="102" t="s">
        <v>173</v>
      </c>
      <c r="D80" s="102" t="s">
        <v>174</v>
      </c>
      <c r="E80" s="102" t="s">
        <v>190</v>
      </c>
      <c r="F80" s="102" t="s">
        <v>191</v>
      </c>
      <c r="G80" s="102" t="s">
        <v>192</v>
      </c>
      <c r="H80" s="102" t="s">
        <v>193</v>
      </c>
      <c r="I80" s="125"/>
      <c r="J80" s="125"/>
    </row>
    <row r="81" customFormat="false" ht="15.25" hidden="false" customHeight="false" outlineLevel="0" collapsed="false">
      <c r="A81" s="105" t="n">
        <v>280</v>
      </c>
      <c r="B81" s="105" t="n">
        <v>350</v>
      </c>
      <c r="C81" s="105" t="n">
        <v>320</v>
      </c>
      <c r="D81" s="105" t="n">
        <f aca="false">(A81+B81+C81)/3</f>
        <v>316.666666666667</v>
      </c>
      <c r="E81" s="106" t="n">
        <v>1</v>
      </c>
      <c r="F81" s="107" t="n">
        <v>1</v>
      </c>
      <c r="G81" s="105" t="n">
        <f aca="false">(D81/F81)/12*27</f>
        <v>712.5</v>
      </c>
      <c r="H81" s="105" t="n">
        <f aca="false">G81/9</f>
        <v>79.1666666666667</v>
      </c>
      <c r="I81" s="125"/>
      <c r="J81" s="125"/>
    </row>
    <row r="82" customFormat="false" ht="15.25" hidden="false" customHeight="false" outlineLevel="0" collapsed="false">
      <c r="A82" s="105"/>
      <c r="B82" s="105"/>
      <c r="C82" s="105"/>
      <c r="D82" s="105"/>
      <c r="E82" s="106"/>
      <c r="F82" s="106"/>
      <c r="G82" s="105"/>
      <c r="H82" s="105"/>
      <c r="I82" s="125"/>
      <c r="J82" s="125"/>
    </row>
    <row r="83" customFormat="false" ht="15.25" hidden="false" customHeight="false" outlineLevel="0" collapsed="false">
      <c r="A83" s="100" t="s">
        <v>215</v>
      </c>
      <c r="B83" s="100"/>
      <c r="C83" s="100"/>
      <c r="D83" s="100"/>
      <c r="E83" s="100"/>
      <c r="F83" s="100"/>
      <c r="G83" s="100"/>
      <c r="H83" s="100"/>
      <c r="I83" s="125"/>
      <c r="J83" s="125"/>
    </row>
    <row r="84" customFormat="false" ht="15.25" hidden="false" customHeight="false" outlineLevel="0" collapsed="false">
      <c r="A84" s="102" t="s">
        <v>171</v>
      </c>
      <c r="B84" s="102" t="s">
        <v>172</v>
      </c>
      <c r="C84" s="102" t="s">
        <v>173</v>
      </c>
      <c r="D84" s="102" t="s">
        <v>174</v>
      </c>
      <c r="E84" s="102" t="s">
        <v>190</v>
      </c>
      <c r="F84" s="102" t="s">
        <v>191</v>
      </c>
      <c r="G84" s="102" t="s">
        <v>192</v>
      </c>
      <c r="H84" s="102" t="s">
        <v>193</v>
      </c>
      <c r="I84" s="125"/>
      <c r="J84" s="125"/>
    </row>
    <row r="85" customFormat="false" ht="15.25" hidden="false" customHeight="false" outlineLevel="0" collapsed="false">
      <c r="A85" s="105" t="n">
        <v>3</v>
      </c>
      <c r="B85" s="105" t="n">
        <v>3</v>
      </c>
      <c r="C85" s="105" t="n">
        <v>3</v>
      </c>
      <c r="D85" s="105" t="n">
        <f aca="false">(A85+B85+C85)/3</f>
        <v>3</v>
      </c>
      <c r="E85" s="106" t="n">
        <v>1</v>
      </c>
      <c r="F85" s="107" t="n">
        <v>1</v>
      </c>
      <c r="G85" s="105" t="n">
        <f aca="false">(D85/12)*114</f>
        <v>28.5</v>
      </c>
      <c r="H85" s="105" t="n">
        <f aca="false">G85/19</f>
        <v>1.5</v>
      </c>
      <c r="I85" s="125"/>
      <c r="J85" s="125"/>
    </row>
    <row r="86" customFormat="false" ht="15.25" hidden="false" customHeight="false" outlineLevel="0" collapsed="false">
      <c r="A86" s="105"/>
      <c r="B86" s="105"/>
      <c r="C86" s="105"/>
      <c r="D86" s="105"/>
      <c r="E86" s="106"/>
      <c r="F86" s="106"/>
      <c r="G86" s="105"/>
      <c r="H86" s="105"/>
      <c r="I86" s="125"/>
      <c r="J86" s="125"/>
    </row>
    <row r="87" customFormat="false" ht="15.25" hidden="false" customHeight="false" outlineLevel="0" collapsed="false">
      <c r="A87" s="100" t="s">
        <v>230</v>
      </c>
      <c r="B87" s="100"/>
      <c r="C87" s="100"/>
      <c r="D87" s="100"/>
      <c r="E87" s="100"/>
      <c r="F87" s="100"/>
      <c r="G87" s="100"/>
      <c r="H87" s="100"/>
      <c r="I87" s="125"/>
      <c r="J87" s="125"/>
    </row>
    <row r="88" customFormat="false" ht="15.25" hidden="false" customHeight="false" outlineLevel="0" collapsed="false">
      <c r="A88" s="102" t="s">
        <v>171</v>
      </c>
      <c r="B88" s="102" t="s">
        <v>172</v>
      </c>
      <c r="C88" s="102" t="s">
        <v>173</v>
      </c>
      <c r="D88" s="102" t="s">
        <v>174</v>
      </c>
      <c r="E88" s="102" t="s">
        <v>190</v>
      </c>
      <c r="F88" s="102" t="s">
        <v>191</v>
      </c>
      <c r="G88" s="102" t="s">
        <v>192</v>
      </c>
      <c r="H88" s="102" t="s">
        <v>193</v>
      </c>
      <c r="I88" s="125"/>
      <c r="J88" s="125"/>
    </row>
    <row r="89" customFormat="false" ht="15.25" hidden="false" customHeight="false" outlineLevel="0" collapsed="false">
      <c r="A89" s="105" t="n">
        <v>330</v>
      </c>
      <c r="B89" s="105" t="n">
        <v>505</v>
      </c>
      <c r="C89" s="105" t="n">
        <v>450</v>
      </c>
      <c r="D89" s="105" t="n">
        <f aca="false">(A89+B89+C89)/3</f>
        <v>428.333333333333</v>
      </c>
      <c r="E89" s="106" t="n">
        <v>1</v>
      </c>
      <c r="F89" s="107" t="n">
        <v>1</v>
      </c>
      <c r="G89" s="105" t="n">
        <f aca="false">(D89/F89)/12*27</f>
        <v>963.75</v>
      </c>
      <c r="H89" s="105" t="n">
        <f aca="false">G89/9</f>
        <v>107.083333333333</v>
      </c>
      <c r="I89" s="125"/>
      <c r="J89" s="125"/>
    </row>
    <row r="90" customFormat="false" ht="15.25" hidden="false" customHeight="false" outlineLevel="0" collapsed="false">
      <c r="A90" s="105"/>
      <c r="B90" s="105"/>
      <c r="C90" s="105"/>
      <c r="D90" s="105"/>
      <c r="E90" s="106"/>
      <c r="F90" s="106"/>
      <c r="G90" s="105"/>
      <c r="H90" s="105"/>
      <c r="I90" s="125"/>
      <c r="J90" s="125"/>
    </row>
    <row r="91" customFormat="false" ht="15.25" hidden="false" customHeight="false" outlineLevel="0" collapsed="false">
      <c r="A91" s="127" t="s">
        <v>231</v>
      </c>
      <c r="B91" s="127"/>
      <c r="C91" s="127"/>
      <c r="D91" s="127"/>
      <c r="E91" s="127"/>
      <c r="F91" s="127"/>
      <c r="G91" s="114" t="n">
        <f aca="false">(G5+G9+G13+G17+G21+G25+G29+G33+G37+G41+G45+G49+G53+G57+G61+G65+G69+G73+G77+G81+G85+G89)</f>
        <v>3729.88227777778</v>
      </c>
      <c r="H91" s="114" t="n">
        <f aca="false">(H5+H9+H13+H17+H21+H25+H29+H33+H37+H41+H45+H49+H53+H57+H61+H65+H69+H73+H77+H81+H85+H89)</f>
        <v>366.69161517219</v>
      </c>
      <c r="I91" s="125"/>
      <c r="J91" s="125"/>
    </row>
    <row r="92" customFormat="false" ht="15.25" hidden="false" customHeight="false" outlineLevel="0" collapsed="false">
      <c r="A92" s="105"/>
      <c r="B92" s="105"/>
      <c r="C92" s="105"/>
      <c r="D92" s="105"/>
      <c r="E92" s="106"/>
      <c r="F92" s="106"/>
      <c r="G92" s="105"/>
      <c r="H92" s="105"/>
      <c r="I92" s="125"/>
      <c r="J92" s="125"/>
    </row>
    <row r="93" customFormat="false" ht="15.25" hidden="false" customHeight="false" outlineLevel="0" collapsed="false">
      <c r="A93" s="100" t="s">
        <v>232</v>
      </c>
      <c r="B93" s="100"/>
      <c r="C93" s="100"/>
      <c r="D93" s="100"/>
      <c r="E93" s="100"/>
      <c r="F93" s="100"/>
      <c r="G93" s="100"/>
      <c r="H93" s="100"/>
      <c r="I93" s="125"/>
      <c r="J93" s="125"/>
    </row>
    <row r="94" customFormat="false" ht="15.25" hidden="false" customHeight="false" outlineLevel="0" collapsed="false">
      <c r="A94" s="102" t="s">
        <v>171</v>
      </c>
      <c r="B94" s="102" t="s">
        <v>172</v>
      </c>
      <c r="C94" s="102" t="s">
        <v>173</v>
      </c>
      <c r="D94" s="102" t="s">
        <v>174</v>
      </c>
      <c r="E94" s="102" t="s">
        <v>190</v>
      </c>
      <c r="F94" s="102" t="s">
        <v>191</v>
      </c>
      <c r="G94" s="102" t="s">
        <v>192</v>
      </c>
      <c r="H94" s="102" t="s">
        <v>193</v>
      </c>
      <c r="I94" s="125"/>
      <c r="J94" s="125"/>
    </row>
    <row r="95" customFormat="false" ht="15.25" hidden="false" customHeight="false" outlineLevel="0" collapsed="false">
      <c r="A95" s="105" t="n">
        <v>10810</v>
      </c>
      <c r="B95" s="105" t="n">
        <v>10810</v>
      </c>
      <c r="C95" s="105" t="n">
        <v>10810</v>
      </c>
      <c r="D95" s="105" t="n">
        <f aca="false">(A95+B95+C95)/3</f>
        <v>10810</v>
      </c>
      <c r="E95" s="106" t="n">
        <v>0.25</v>
      </c>
      <c r="F95" s="107" t="n">
        <v>4</v>
      </c>
      <c r="G95" s="105" t="n">
        <f aca="false">(D95/F95)/12*2</f>
        <v>450.416666666667</v>
      </c>
      <c r="H95" s="105" t="n">
        <f aca="false">G95/8</f>
        <v>56.3020833333333</v>
      </c>
      <c r="I95" s="125"/>
      <c r="J95" s="125"/>
    </row>
    <row r="96" customFormat="false" ht="15.25" hidden="false" customHeight="false" outlineLevel="0" collapsed="false">
      <c r="A96" s="105"/>
      <c r="B96" s="105"/>
      <c r="C96" s="105"/>
      <c r="D96" s="105"/>
      <c r="E96" s="106"/>
      <c r="F96" s="106"/>
      <c r="G96" s="105"/>
      <c r="H96" s="105"/>
      <c r="I96" s="125"/>
      <c r="J96" s="125"/>
    </row>
    <row r="97" customFormat="false" ht="13.2" hidden="false" customHeight="true" outlineLevel="0" collapsed="false">
      <c r="A97" s="100" t="s">
        <v>233</v>
      </c>
      <c r="B97" s="100"/>
      <c r="C97" s="100"/>
      <c r="D97" s="100"/>
      <c r="E97" s="100"/>
      <c r="F97" s="100"/>
      <c r="G97" s="100"/>
      <c r="H97" s="100"/>
      <c r="I97" s="125"/>
      <c r="J97" s="125"/>
    </row>
    <row r="98" customFormat="false" ht="32.6" hidden="false" customHeight="true" outlineLevel="0" collapsed="false">
      <c r="A98" s="102" t="s">
        <v>171</v>
      </c>
      <c r="B98" s="102" t="s">
        <v>172</v>
      </c>
      <c r="C98" s="102" t="s">
        <v>173</v>
      </c>
      <c r="D98" s="102" t="s">
        <v>174</v>
      </c>
      <c r="E98" s="128" t="s">
        <v>190</v>
      </c>
      <c r="F98" s="128" t="s">
        <v>234</v>
      </c>
      <c r="G98" s="102" t="s">
        <v>192</v>
      </c>
      <c r="H98" s="128" t="s">
        <v>235</v>
      </c>
      <c r="I98" s="125"/>
      <c r="J98" s="125"/>
    </row>
    <row r="99" customFormat="false" ht="15.25" hidden="false" customHeight="false" outlineLevel="0" collapsed="false">
      <c r="A99" s="105" t="n">
        <v>4.11</v>
      </c>
      <c r="B99" s="105" t="n">
        <v>4.11</v>
      </c>
      <c r="C99" s="105" t="n">
        <v>4.11</v>
      </c>
      <c r="D99" s="105" t="n">
        <f aca="false">(A99+B99+C99)/3</f>
        <v>4.11</v>
      </c>
      <c r="E99" s="129" t="n">
        <v>0</v>
      </c>
      <c r="F99" s="126" t="s">
        <v>236</v>
      </c>
      <c r="G99" s="130" t="n">
        <f aca="false">D99*(150*2)</f>
        <v>1233</v>
      </c>
      <c r="H99" s="105" t="n">
        <f aca="false">G99/8</f>
        <v>154.125</v>
      </c>
      <c r="I99" s="125"/>
      <c r="J99" s="125"/>
    </row>
    <row r="100" customFormat="false" ht="14.05" hidden="false" customHeight="false" outlineLevel="0" collapsed="false">
      <c r="A100" s="131" t="s">
        <v>237</v>
      </c>
      <c r="B100" s="131"/>
      <c r="C100" s="131"/>
      <c r="D100" s="131"/>
      <c r="E100" s="131"/>
      <c r="F100" s="131"/>
      <c r="G100" s="131"/>
      <c r="H100" s="131"/>
      <c r="I100" s="125"/>
      <c r="J100" s="125"/>
    </row>
    <row r="101" customFormat="false" ht="14.05" hidden="false" customHeight="false" outlineLevel="0" collapsed="false">
      <c r="A101" s="132" t="s">
        <v>238</v>
      </c>
      <c r="B101" s="132"/>
      <c r="C101" s="132"/>
      <c r="D101" s="132"/>
      <c r="E101" s="132"/>
      <c r="F101" s="132"/>
      <c r="G101" s="132"/>
      <c r="H101" s="132"/>
      <c r="I101" s="125"/>
      <c r="J101" s="125"/>
    </row>
    <row r="103" customFormat="false" ht="15.25" hidden="false" customHeight="false" outlineLevel="0" collapsed="false">
      <c r="A103" s="118" t="s">
        <v>239</v>
      </c>
      <c r="B103" s="118"/>
      <c r="C103" s="118"/>
      <c r="D103" s="118"/>
      <c r="E103" s="118"/>
      <c r="F103" s="118"/>
      <c r="G103" s="119" t="n">
        <f aca="false">(G5+G9+G13+G17+G21+G25+G29+G33+G37+G41+G65)</f>
        <v>279.173944444444</v>
      </c>
      <c r="H103" s="119" t="n">
        <f aca="false">(H5+H9+H13+H17+H21+H25+H29+H33+H37+H41+H45+H65)</f>
        <v>16.7999485055231</v>
      </c>
    </row>
    <row r="105" customFormat="false" ht="15.25" hidden="false" customHeight="false" outlineLevel="0" collapsed="false">
      <c r="A105" s="120" t="s">
        <v>240</v>
      </c>
      <c r="B105" s="120"/>
      <c r="C105" s="120"/>
      <c r="D105" s="120"/>
      <c r="E105" s="120"/>
      <c r="F105" s="120"/>
      <c r="G105" s="121" t="n">
        <f aca="false">(G49+G53+G57+G61+G69+G73+G77+G81+G85+G89)</f>
        <v>3449.85833333333</v>
      </c>
      <c r="H105" s="121" t="n">
        <f aca="false">(H49+H53+H57+H61+H69+H73+H77+H81+H85+H89)</f>
        <v>349.891666666667</v>
      </c>
    </row>
    <row r="107" customFormat="false" ht="15.25" hidden="false" customHeight="false" outlineLevel="0" collapsed="false">
      <c r="A107" s="122" t="s">
        <v>241</v>
      </c>
      <c r="B107" s="122"/>
      <c r="C107" s="122"/>
      <c r="D107" s="122"/>
      <c r="E107" s="122"/>
      <c r="F107" s="122"/>
      <c r="G107" s="123" t="n">
        <v>4500</v>
      </c>
      <c r="H107" s="123" t="n">
        <f aca="false">G107/28</f>
        <v>160.714285714286</v>
      </c>
    </row>
    <row r="109" customFormat="false" ht="49.35" hidden="false" customHeight="true" outlineLevel="0" collapsed="false">
      <c r="A109" s="133" t="s">
        <v>242</v>
      </c>
      <c r="B109" s="133"/>
      <c r="C109" s="133"/>
      <c r="D109" s="133"/>
      <c r="E109" s="133"/>
      <c r="F109" s="133"/>
      <c r="G109" s="133"/>
      <c r="H109" s="133"/>
    </row>
    <row r="110" customFormat="false" ht="14.1" hidden="false" customHeight="true" outlineLevel="0" collapsed="false"/>
  </sheetData>
  <mergeCells count="33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H59"/>
    <mergeCell ref="A63:H63"/>
    <mergeCell ref="A67:H67"/>
    <mergeCell ref="A71:H71"/>
    <mergeCell ref="A75:H75"/>
    <mergeCell ref="A79:H79"/>
    <mergeCell ref="A83:H83"/>
    <mergeCell ref="A87:H87"/>
    <mergeCell ref="A91:F91"/>
    <mergeCell ref="A93:H93"/>
    <mergeCell ref="A97:H97"/>
    <mergeCell ref="A100:H100"/>
    <mergeCell ref="A101:H101"/>
    <mergeCell ref="A103:F103"/>
    <mergeCell ref="A105:F105"/>
    <mergeCell ref="A107:F107"/>
    <mergeCell ref="A109:H10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13"/>
  <sheetViews>
    <sheetView windowProtection="false" showFormulas="false" showGridLines="true" showRowColHeaders="true" showZeros="true" rightToLeft="false" tabSelected="false" showOutlineSymbols="true" defaultGridColor="true" view="normal" topLeftCell="A82" colorId="64" zoomScale="60" zoomScaleNormal="60" zoomScalePageLayoutView="100" workbookViewId="0">
      <selection pane="topLeft" activeCell="D22" activeCellId="0" sqref="D22"/>
    </sheetView>
  </sheetViews>
  <sheetFormatPr defaultRowHeight="14.05"/>
  <cols>
    <col collapsed="false" hidden="false" max="1" min="1" style="0" width="22.0279069767442"/>
    <col collapsed="false" hidden="false" max="4" min="2" style="0" width="20.9209302325581"/>
    <col collapsed="false" hidden="false" max="5" min="5" style="0" width="25.4744186046512"/>
    <col collapsed="false" hidden="false" max="6" min="6" style="0" width="43.1953488372093"/>
    <col collapsed="false" hidden="false" max="7" min="7" style="0" width="23.506976744186"/>
    <col collapsed="false" hidden="false" max="8" min="8" style="0" width="25.7209302325581"/>
    <col collapsed="false" hidden="false" max="1025" min="9" style="0" width="13.4139534883721"/>
  </cols>
  <sheetData>
    <row r="1" customFormat="false" ht="17.65" hidden="false" customHeight="false" outlineLevel="0" collapsed="false">
      <c r="A1" s="99" t="s">
        <v>243</v>
      </c>
      <c r="B1" s="99"/>
      <c r="C1" s="99"/>
      <c r="D1" s="99"/>
      <c r="E1" s="99"/>
      <c r="F1" s="99"/>
      <c r="G1" s="99"/>
      <c r="H1" s="99"/>
      <c r="I1" s="125"/>
      <c r="J1" s="125"/>
    </row>
    <row r="2" customFormat="false" ht="14.0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125"/>
      <c r="J2" s="125"/>
    </row>
    <row r="3" customFormat="false" ht="15.25" hidden="false" customHeight="false" outlineLevel="0" collapsed="false">
      <c r="A3" s="100" t="s">
        <v>188</v>
      </c>
      <c r="B3" s="100"/>
      <c r="C3" s="100"/>
      <c r="D3" s="100"/>
      <c r="E3" s="100"/>
      <c r="F3" s="100"/>
      <c r="G3" s="100"/>
      <c r="H3" s="100"/>
      <c r="I3" s="125"/>
      <c r="J3" s="125"/>
    </row>
    <row r="4" customFormat="false" ht="15.25" hidden="false" customHeight="false" outlineLevel="0" collapsed="false">
      <c r="A4" s="102" t="s">
        <v>171</v>
      </c>
      <c r="B4" s="102" t="s">
        <v>172</v>
      </c>
      <c r="C4" s="102" t="s">
        <v>173</v>
      </c>
      <c r="D4" s="102" t="s">
        <v>174</v>
      </c>
      <c r="E4" s="102" t="s">
        <v>190</v>
      </c>
      <c r="F4" s="102" t="s">
        <v>191</v>
      </c>
      <c r="G4" s="102" t="s">
        <v>192</v>
      </c>
      <c r="H4" s="102" t="s">
        <v>193</v>
      </c>
      <c r="I4" s="125"/>
      <c r="J4" s="125"/>
    </row>
    <row r="5" customFormat="false" ht="15.25" hidden="false" customHeight="false" outlineLevel="0" collapsed="false">
      <c r="A5" s="105" t="n">
        <v>1500</v>
      </c>
      <c r="B5" s="105" t="n">
        <v>1950</v>
      </c>
      <c r="C5" s="105" t="n">
        <v>2000</v>
      </c>
      <c r="D5" s="105" t="n">
        <f aca="false">(A5+B5+C5)/3</f>
        <v>1816.66666666667</v>
      </c>
      <c r="E5" s="106" t="n">
        <v>0.1</v>
      </c>
      <c r="F5" s="107" t="n">
        <v>10</v>
      </c>
      <c r="G5" s="105" t="n">
        <f aca="false">(D5/F5)/12</f>
        <v>15.1388888888889</v>
      </c>
      <c r="H5" s="105" t="n">
        <f aca="false">G5/18</f>
        <v>0.841049382716049</v>
      </c>
      <c r="I5" s="125"/>
      <c r="J5" s="125"/>
    </row>
    <row r="6" customFormat="false" ht="14.05" hidden="false" customHeight="false" outlineLevel="0" collapsed="false">
      <c r="I6" s="125"/>
      <c r="J6" s="125"/>
    </row>
    <row r="7" customFormat="false" ht="15.25" hidden="false" customHeight="false" outlineLevel="0" collapsed="false">
      <c r="A7" s="100" t="s">
        <v>194</v>
      </c>
      <c r="B7" s="100"/>
      <c r="C7" s="100"/>
      <c r="D7" s="100"/>
      <c r="E7" s="100"/>
      <c r="F7" s="100"/>
      <c r="G7" s="100"/>
      <c r="H7" s="100"/>
      <c r="I7" s="125"/>
      <c r="J7" s="125"/>
    </row>
    <row r="8" customFormat="false" ht="15.25" hidden="false" customHeight="false" outlineLevel="0" collapsed="false">
      <c r="A8" s="102" t="s">
        <v>171</v>
      </c>
      <c r="B8" s="102" t="s">
        <v>172</v>
      </c>
      <c r="C8" s="102" t="s">
        <v>173</v>
      </c>
      <c r="D8" s="102" t="s">
        <v>174</v>
      </c>
      <c r="E8" s="102" t="s">
        <v>190</v>
      </c>
      <c r="F8" s="102" t="s">
        <v>191</v>
      </c>
      <c r="G8" s="102" t="s">
        <v>192</v>
      </c>
      <c r="H8" s="102" t="s">
        <v>193</v>
      </c>
      <c r="I8" s="125"/>
      <c r="J8" s="125"/>
    </row>
    <row r="9" customFormat="false" ht="15.25" hidden="false" customHeight="false" outlineLevel="0" collapsed="false">
      <c r="A9" s="105" t="n">
        <v>150</v>
      </c>
      <c r="B9" s="105" t="n">
        <v>150</v>
      </c>
      <c r="C9" s="105" t="n">
        <v>150</v>
      </c>
      <c r="D9" s="105" t="n">
        <f aca="false">(A9+B9+C9)/3</f>
        <v>150</v>
      </c>
      <c r="E9" s="106" t="n">
        <v>0.1</v>
      </c>
      <c r="F9" s="107" t="n">
        <v>10</v>
      </c>
      <c r="G9" s="105" t="n">
        <f aca="false">(D9/F9)/12*9</f>
        <v>11.25</v>
      </c>
      <c r="H9" s="105" t="n">
        <f aca="false">G9/18</f>
        <v>0.625</v>
      </c>
      <c r="I9" s="125"/>
      <c r="J9" s="125"/>
    </row>
    <row r="10" customFormat="false" ht="14.05" hidden="false" customHeight="false" outlineLevel="0" collapsed="false">
      <c r="I10" s="125"/>
      <c r="J10" s="125"/>
    </row>
    <row r="11" customFormat="false" ht="15.25" hidden="false" customHeight="false" outlineLevel="0" collapsed="false">
      <c r="A11" s="100" t="s">
        <v>197</v>
      </c>
      <c r="B11" s="100"/>
      <c r="C11" s="100"/>
      <c r="D11" s="100"/>
      <c r="E11" s="100"/>
      <c r="F11" s="100"/>
      <c r="G11" s="100"/>
      <c r="H11" s="100"/>
      <c r="I11" s="125"/>
      <c r="J11" s="125"/>
    </row>
    <row r="12" customFormat="false" ht="15.25" hidden="false" customHeight="false" outlineLevel="0" collapsed="false">
      <c r="A12" s="102" t="s">
        <v>171</v>
      </c>
      <c r="B12" s="102" t="s">
        <v>172</v>
      </c>
      <c r="C12" s="102" t="s">
        <v>173</v>
      </c>
      <c r="D12" s="102" t="s">
        <v>174</v>
      </c>
      <c r="E12" s="102" t="s">
        <v>190</v>
      </c>
      <c r="F12" s="102" t="s">
        <v>191</v>
      </c>
      <c r="G12" s="102" t="s">
        <v>192</v>
      </c>
      <c r="H12" s="102" t="s">
        <v>193</v>
      </c>
      <c r="I12" s="125"/>
      <c r="J12" s="125"/>
    </row>
    <row r="13" customFormat="false" ht="15.25" hidden="false" customHeight="false" outlineLevel="0" collapsed="false">
      <c r="A13" s="105" t="n">
        <v>989</v>
      </c>
      <c r="B13" s="105" t="n">
        <v>1124.57</v>
      </c>
      <c r="C13" s="105" t="n">
        <v>1097.86</v>
      </c>
      <c r="D13" s="105" t="n">
        <f aca="false">(A13+B13+C13)/3</f>
        <v>1070.47666666667</v>
      </c>
      <c r="E13" s="106" t="n">
        <v>0.1</v>
      </c>
      <c r="F13" s="107" t="n">
        <v>10</v>
      </c>
      <c r="G13" s="105" t="n">
        <f aca="false">(D13/F13)/12</f>
        <v>8.92063888888889</v>
      </c>
      <c r="H13" s="105" t="n">
        <f aca="false">G13/19</f>
        <v>0.46950730994152</v>
      </c>
      <c r="I13" s="125"/>
      <c r="J13" s="125"/>
    </row>
    <row r="14" customFormat="false" ht="14.05" hidden="false" customHeight="false" outlineLevel="0" collapsed="false">
      <c r="I14" s="125"/>
      <c r="J14" s="125"/>
    </row>
    <row r="15" customFormat="false" ht="15.25" hidden="false" customHeight="false" outlineLevel="0" collapsed="false">
      <c r="A15" s="100" t="s">
        <v>198</v>
      </c>
      <c r="B15" s="100"/>
      <c r="C15" s="100"/>
      <c r="D15" s="100"/>
      <c r="E15" s="100"/>
      <c r="F15" s="100"/>
      <c r="G15" s="100"/>
      <c r="H15" s="100"/>
      <c r="I15" s="125"/>
      <c r="J15" s="125"/>
    </row>
    <row r="16" customFormat="false" ht="15.25" hidden="false" customHeight="false" outlineLevel="0" collapsed="false">
      <c r="A16" s="102" t="s">
        <v>171</v>
      </c>
      <c r="B16" s="102" t="s">
        <v>172</v>
      </c>
      <c r="C16" s="102" t="s">
        <v>173</v>
      </c>
      <c r="D16" s="102" t="s">
        <v>174</v>
      </c>
      <c r="E16" s="102" t="s">
        <v>190</v>
      </c>
      <c r="F16" s="102" t="s">
        <v>191</v>
      </c>
      <c r="G16" s="102" t="s">
        <v>192</v>
      </c>
      <c r="H16" s="102" t="s">
        <v>193</v>
      </c>
      <c r="I16" s="125"/>
      <c r="J16" s="125"/>
    </row>
    <row r="17" customFormat="false" ht="15.25" hidden="false" customHeight="false" outlineLevel="0" collapsed="false">
      <c r="A17" s="105" t="n">
        <v>1050</v>
      </c>
      <c r="B17" s="105" t="n">
        <v>1050</v>
      </c>
      <c r="C17" s="105" t="n">
        <v>1050</v>
      </c>
      <c r="D17" s="105" t="n">
        <f aca="false">(A17+B17+C17)/3</f>
        <v>1050</v>
      </c>
      <c r="E17" s="106" t="n">
        <v>0.2</v>
      </c>
      <c r="F17" s="107" t="n">
        <v>5</v>
      </c>
      <c r="G17" s="105" t="n">
        <f aca="false">(D17/F17)/12*5</f>
        <v>87.5</v>
      </c>
      <c r="H17" s="105" t="n">
        <f aca="false">G17/18</f>
        <v>4.86111111111111</v>
      </c>
      <c r="I17" s="125"/>
      <c r="J17" s="125"/>
    </row>
    <row r="18" customFormat="false" ht="14.05" hidden="false" customHeight="false" outlineLevel="0" collapsed="false">
      <c r="I18" s="125"/>
      <c r="J18" s="125"/>
    </row>
    <row r="19" customFormat="false" ht="15.25" hidden="false" customHeight="false" outlineLevel="0" collapsed="false">
      <c r="A19" s="100" t="s">
        <v>199</v>
      </c>
      <c r="B19" s="100"/>
      <c r="C19" s="100"/>
      <c r="D19" s="100"/>
      <c r="E19" s="100"/>
      <c r="F19" s="100"/>
      <c r="G19" s="100"/>
      <c r="H19" s="100"/>
      <c r="I19" s="125"/>
      <c r="J19" s="125"/>
    </row>
    <row r="20" customFormat="false" ht="15.25" hidden="false" customHeight="false" outlineLevel="0" collapsed="false">
      <c r="A20" s="102" t="s">
        <v>171</v>
      </c>
      <c r="B20" s="102" t="s">
        <v>172</v>
      </c>
      <c r="C20" s="102" t="s">
        <v>173</v>
      </c>
      <c r="D20" s="102" t="s">
        <v>174</v>
      </c>
      <c r="E20" s="102" t="s">
        <v>190</v>
      </c>
      <c r="F20" s="102" t="s">
        <v>191</v>
      </c>
      <c r="G20" s="102" t="s">
        <v>192</v>
      </c>
      <c r="H20" s="102" t="s">
        <v>193</v>
      </c>
      <c r="I20" s="125"/>
      <c r="J20" s="125"/>
    </row>
    <row r="21" customFormat="false" ht="15.25" hidden="false" customHeight="false" outlineLevel="0" collapsed="false">
      <c r="A21" s="105" t="n">
        <v>180</v>
      </c>
      <c r="B21" s="105" t="n">
        <v>150</v>
      </c>
      <c r="C21" s="105" t="n">
        <v>175</v>
      </c>
      <c r="D21" s="105" t="n">
        <f aca="false">(A21+B21+C21)/3</f>
        <v>168.333333333333</v>
      </c>
      <c r="E21" s="106" t="n">
        <v>0.25</v>
      </c>
      <c r="F21" s="107" t="n">
        <v>4</v>
      </c>
      <c r="G21" s="105" t="n">
        <f aca="false">(D21/F21)/12*5</f>
        <v>17.5347222222222</v>
      </c>
      <c r="H21" s="105" t="n">
        <f aca="false">G21/18</f>
        <v>0.974151234567901</v>
      </c>
      <c r="I21" s="125"/>
      <c r="J21" s="125"/>
    </row>
    <row r="22" customFormat="false" ht="14.05" hidden="false" customHeight="false" outlineLevel="0" collapsed="false">
      <c r="I22" s="125"/>
      <c r="J22" s="125"/>
    </row>
    <row r="23" customFormat="false" ht="15.25" hidden="false" customHeight="false" outlineLevel="0" collapsed="false">
      <c r="A23" s="100" t="s">
        <v>224</v>
      </c>
      <c r="B23" s="100"/>
      <c r="C23" s="100"/>
      <c r="D23" s="100"/>
      <c r="E23" s="100"/>
      <c r="F23" s="100"/>
      <c r="G23" s="100"/>
      <c r="H23" s="100"/>
      <c r="I23" s="125"/>
      <c r="J23" s="125"/>
    </row>
    <row r="24" customFormat="false" ht="15.25" hidden="false" customHeight="false" outlineLevel="0" collapsed="false">
      <c r="A24" s="102" t="s">
        <v>171</v>
      </c>
      <c r="B24" s="102" t="s">
        <v>172</v>
      </c>
      <c r="C24" s="102" t="s">
        <v>173</v>
      </c>
      <c r="D24" s="102" t="s">
        <v>174</v>
      </c>
      <c r="E24" s="102" t="s">
        <v>190</v>
      </c>
      <c r="F24" s="102" t="s">
        <v>191</v>
      </c>
      <c r="G24" s="102" t="s">
        <v>192</v>
      </c>
      <c r="H24" s="102" t="s">
        <v>193</v>
      </c>
      <c r="I24" s="125"/>
      <c r="J24" s="125"/>
    </row>
    <row r="25" customFormat="false" ht="15.25" hidden="false" customHeight="false" outlineLevel="0" collapsed="false">
      <c r="A25" s="105" t="n">
        <v>10</v>
      </c>
      <c r="B25" s="105" t="n">
        <v>10</v>
      </c>
      <c r="C25" s="105" t="n">
        <v>10</v>
      </c>
      <c r="D25" s="105" t="n">
        <f aca="false">(A25+B25+C25)/3</f>
        <v>10</v>
      </c>
      <c r="E25" s="106" t="n">
        <v>0.25</v>
      </c>
      <c r="F25" s="107" t="n">
        <v>4</v>
      </c>
      <c r="G25" s="105" t="n">
        <f aca="false">(D25/F25)/12*5</f>
        <v>1.04166666666667</v>
      </c>
      <c r="H25" s="105" t="n">
        <f aca="false">G25/19</f>
        <v>0.0548245614035088</v>
      </c>
      <c r="I25" s="125"/>
      <c r="J25" s="125"/>
    </row>
    <row r="26" customFormat="false" ht="14.05" hidden="false" customHeight="false" outlineLevel="0" collapsed="false">
      <c r="I26" s="125"/>
      <c r="J26" s="125"/>
    </row>
    <row r="27" customFormat="false" ht="15.25" hidden="false" customHeight="false" outlineLevel="0" collapsed="false">
      <c r="A27" s="100" t="s">
        <v>201</v>
      </c>
      <c r="B27" s="100"/>
      <c r="C27" s="100"/>
      <c r="D27" s="100"/>
      <c r="E27" s="100"/>
      <c r="F27" s="100"/>
      <c r="G27" s="100"/>
      <c r="H27" s="100"/>
      <c r="I27" s="125"/>
      <c r="J27" s="125"/>
    </row>
    <row r="28" customFormat="false" ht="15.25" hidden="false" customHeight="false" outlineLevel="0" collapsed="false">
      <c r="A28" s="102" t="s">
        <v>171</v>
      </c>
      <c r="B28" s="102" t="s">
        <v>172</v>
      </c>
      <c r="C28" s="102" t="s">
        <v>173</v>
      </c>
      <c r="D28" s="102" t="s">
        <v>174</v>
      </c>
      <c r="E28" s="102" t="s">
        <v>190</v>
      </c>
      <c r="F28" s="102" t="s">
        <v>191</v>
      </c>
      <c r="G28" s="102" t="s">
        <v>192</v>
      </c>
      <c r="H28" s="102" t="s">
        <v>193</v>
      </c>
      <c r="I28" s="125"/>
      <c r="J28" s="125"/>
    </row>
    <row r="29" customFormat="false" ht="15.25" hidden="false" customHeight="false" outlineLevel="0" collapsed="false">
      <c r="A29" s="105" t="n">
        <v>53.02</v>
      </c>
      <c r="B29" s="105" t="n">
        <v>53.02</v>
      </c>
      <c r="C29" s="105" t="n">
        <v>53.02</v>
      </c>
      <c r="D29" s="105" t="n">
        <f aca="false">(A29+B29+C29)/3</f>
        <v>53.02</v>
      </c>
      <c r="E29" s="106" t="n">
        <v>0.25</v>
      </c>
      <c r="F29" s="126" t="n">
        <v>4</v>
      </c>
      <c r="G29" s="105" t="n">
        <f aca="false">(D29/F29)/12*5</f>
        <v>5.52291666666667</v>
      </c>
      <c r="H29" s="105" t="n">
        <f aca="false">G29/19</f>
        <v>0.290679824561403</v>
      </c>
      <c r="I29" s="125"/>
      <c r="J29" s="125"/>
    </row>
    <row r="30" customFormat="false" ht="14.05" hidden="false" customHeight="false" outlineLevel="0" collapsed="false">
      <c r="I30" s="125"/>
      <c r="J30" s="125"/>
    </row>
    <row r="31" customFormat="false" ht="15.25" hidden="false" customHeight="false" outlineLevel="0" collapsed="false">
      <c r="A31" s="100" t="s">
        <v>202</v>
      </c>
      <c r="B31" s="100"/>
      <c r="C31" s="100"/>
      <c r="D31" s="100"/>
      <c r="E31" s="100"/>
      <c r="F31" s="100"/>
      <c r="G31" s="100"/>
      <c r="H31" s="100"/>
      <c r="I31" s="125"/>
      <c r="J31" s="125"/>
    </row>
    <row r="32" customFormat="false" ht="15.25" hidden="false" customHeight="false" outlineLevel="0" collapsed="false">
      <c r="A32" s="102" t="s">
        <v>171</v>
      </c>
      <c r="B32" s="102" t="s">
        <v>172</v>
      </c>
      <c r="C32" s="102" t="s">
        <v>173</v>
      </c>
      <c r="D32" s="102" t="s">
        <v>174</v>
      </c>
      <c r="E32" s="102" t="s">
        <v>190</v>
      </c>
      <c r="F32" s="102" t="s">
        <v>191</v>
      </c>
      <c r="G32" s="102" t="s">
        <v>192</v>
      </c>
      <c r="H32" s="102" t="s">
        <v>192</v>
      </c>
      <c r="I32" s="125"/>
      <c r="J32" s="125"/>
    </row>
    <row r="33" customFormat="false" ht="15.25" hidden="false" customHeight="false" outlineLevel="0" collapsed="false">
      <c r="A33" s="105" t="n">
        <v>100</v>
      </c>
      <c r="B33" s="105" t="n">
        <v>80</v>
      </c>
      <c r="C33" s="105" t="n">
        <v>100</v>
      </c>
      <c r="D33" s="105" t="n">
        <f aca="false">(A33+B33+C33)/3</f>
        <v>93.3333333333333</v>
      </c>
      <c r="E33" s="106" t="n">
        <v>0.2</v>
      </c>
      <c r="F33" s="107" t="n">
        <v>5</v>
      </c>
      <c r="G33" s="105" t="n">
        <f aca="false">(D33/F33)/12*5</f>
        <v>7.77777777777778</v>
      </c>
      <c r="H33" s="105" t="n">
        <f aca="false">G33/18</f>
        <v>0.432098765432099</v>
      </c>
      <c r="I33" s="125"/>
      <c r="J33" s="125"/>
    </row>
    <row r="34" customFormat="false" ht="14.05" hidden="false" customHeight="false" outlineLevel="0" collapsed="false">
      <c r="G34" s="0" t="s">
        <v>244</v>
      </c>
      <c r="I34" s="125"/>
      <c r="J34" s="125"/>
    </row>
    <row r="35" customFormat="false" ht="15.25" hidden="false" customHeight="false" outlineLevel="0" collapsed="false">
      <c r="A35" s="100" t="s">
        <v>203</v>
      </c>
      <c r="B35" s="100"/>
      <c r="C35" s="100"/>
      <c r="D35" s="100"/>
      <c r="E35" s="100"/>
      <c r="F35" s="100"/>
      <c r="G35" s="100"/>
      <c r="H35" s="100"/>
      <c r="I35" s="125"/>
      <c r="J35" s="125"/>
    </row>
    <row r="36" customFormat="false" ht="15.25" hidden="false" customHeight="false" outlineLevel="0" collapsed="false">
      <c r="A36" s="102" t="s">
        <v>171</v>
      </c>
      <c r="B36" s="102" t="s">
        <v>172</v>
      </c>
      <c r="C36" s="102" t="s">
        <v>173</v>
      </c>
      <c r="D36" s="102" t="s">
        <v>174</v>
      </c>
      <c r="E36" s="102" t="s">
        <v>190</v>
      </c>
      <c r="F36" s="102" t="s">
        <v>191</v>
      </c>
      <c r="G36" s="102" t="s">
        <v>192</v>
      </c>
      <c r="H36" s="102" t="s">
        <v>193</v>
      </c>
      <c r="I36" s="125"/>
      <c r="J36" s="125"/>
    </row>
    <row r="37" customFormat="false" ht="15.25" hidden="false" customHeight="false" outlineLevel="0" collapsed="false">
      <c r="A37" s="105" t="n">
        <v>1100</v>
      </c>
      <c r="B37" s="105" t="n">
        <v>900</v>
      </c>
      <c r="C37" s="105" t="n">
        <v>1200</v>
      </c>
      <c r="D37" s="105" t="n">
        <f aca="false">(A37+B37+C37)/3</f>
        <v>1066.66666666667</v>
      </c>
      <c r="E37" s="106" t="n">
        <v>0.2</v>
      </c>
      <c r="F37" s="107" t="n">
        <v>5</v>
      </c>
      <c r="G37" s="105" t="n">
        <f aca="false">(D37/F37)/12*5</f>
        <v>88.8888888888889</v>
      </c>
      <c r="H37" s="105" t="n">
        <f aca="false">G37/18</f>
        <v>4.93827160493827</v>
      </c>
      <c r="I37" s="125"/>
      <c r="J37" s="125"/>
    </row>
    <row r="38" customFormat="false" ht="14.05" hidden="false" customHeight="false" outlineLevel="0" collapsed="false">
      <c r="I38" s="125"/>
      <c r="J38" s="125"/>
    </row>
    <row r="39" customFormat="false" ht="15.25" hidden="false" customHeight="false" outlineLevel="0" collapsed="false">
      <c r="A39" s="100" t="s">
        <v>225</v>
      </c>
      <c r="B39" s="100"/>
      <c r="C39" s="100"/>
      <c r="D39" s="100"/>
      <c r="E39" s="100"/>
      <c r="F39" s="100"/>
      <c r="G39" s="100"/>
      <c r="H39" s="100"/>
      <c r="I39" s="125"/>
      <c r="J39" s="125"/>
    </row>
    <row r="40" customFormat="false" ht="15.25" hidden="false" customHeight="false" outlineLevel="0" collapsed="false">
      <c r="A40" s="102" t="s">
        <v>171</v>
      </c>
      <c r="B40" s="102" t="s">
        <v>172</v>
      </c>
      <c r="C40" s="102" t="s">
        <v>173</v>
      </c>
      <c r="D40" s="102" t="s">
        <v>174</v>
      </c>
      <c r="E40" s="102" t="s">
        <v>190</v>
      </c>
      <c r="F40" s="102" t="s">
        <v>191</v>
      </c>
      <c r="G40" s="102" t="s">
        <v>192</v>
      </c>
      <c r="H40" s="102" t="s">
        <v>193</v>
      </c>
      <c r="I40" s="125"/>
      <c r="J40" s="125"/>
    </row>
    <row r="41" customFormat="false" ht="15.25" hidden="false" customHeight="false" outlineLevel="0" collapsed="false">
      <c r="A41" s="105" t="n">
        <v>170.1</v>
      </c>
      <c r="B41" s="105" t="n">
        <v>140.7</v>
      </c>
      <c r="C41" s="105" t="n">
        <v>161.9</v>
      </c>
      <c r="D41" s="105" t="n">
        <f aca="false">(A41+B41+C41)/3</f>
        <v>157.566666666667</v>
      </c>
      <c r="E41" s="106" t="n">
        <v>0.2</v>
      </c>
      <c r="F41" s="107" t="n">
        <v>5</v>
      </c>
      <c r="G41" s="105" t="n">
        <f aca="false">(D41/F41)/12*5</f>
        <v>13.1305555555556</v>
      </c>
      <c r="H41" s="105" t="n">
        <f aca="false">G41/19</f>
        <v>0.691081871345029</v>
      </c>
      <c r="I41" s="125"/>
      <c r="J41" s="125"/>
    </row>
    <row r="42" customFormat="false" ht="15.25" hidden="false" customHeight="false" outlineLevel="0" collapsed="false">
      <c r="A42" s="105"/>
      <c r="B42" s="105"/>
      <c r="C42" s="105"/>
      <c r="D42" s="105"/>
      <c r="E42" s="106"/>
      <c r="F42" s="106"/>
      <c r="G42" s="105"/>
      <c r="H42" s="105"/>
      <c r="I42" s="125"/>
      <c r="J42" s="125"/>
    </row>
    <row r="43" customFormat="false" ht="15.25" hidden="false" customHeight="false" outlineLevel="0" collapsed="false">
      <c r="A43" s="100" t="s">
        <v>205</v>
      </c>
      <c r="B43" s="100"/>
      <c r="C43" s="100"/>
      <c r="D43" s="100"/>
      <c r="E43" s="100"/>
      <c r="F43" s="100"/>
      <c r="G43" s="100"/>
      <c r="H43" s="100"/>
      <c r="I43" s="125"/>
      <c r="J43" s="125"/>
    </row>
    <row r="44" customFormat="false" ht="15.25" hidden="false" customHeight="false" outlineLevel="0" collapsed="false">
      <c r="A44" s="102" t="s">
        <v>171</v>
      </c>
      <c r="B44" s="102" t="s">
        <v>172</v>
      </c>
      <c r="C44" s="102" t="s">
        <v>173</v>
      </c>
      <c r="D44" s="102" t="s">
        <v>174</v>
      </c>
      <c r="E44" s="102" t="s">
        <v>190</v>
      </c>
      <c r="F44" s="102" t="s">
        <v>191</v>
      </c>
      <c r="G44" s="102" t="s">
        <v>192</v>
      </c>
      <c r="H44" s="102" t="s">
        <v>193</v>
      </c>
      <c r="I44" s="125"/>
      <c r="J44" s="125"/>
    </row>
    <row r="45" customFormat="false" ht="15.25" hidden="false" customHeight="false" outlineLevel="0" collapsed="false">
      <c r="A45" s="105" t="n">
        <v>17</v>
      </c>
      <c r="B45" s="105" t="n">
        <v>17</v>
      </c>
      <c r="C45" s="105" t="n">
        <v>17</v>
      </c>
      <c r="D45" s="105" t="n">
        <f aca="false">(A45+B45+C45)/3</f>
        <v>17</v>
      </c>
      <c r="E45" s="106" t="n">
        <v>0.2</v>
      </c>
      <c r="F45" s="107" t="n">
        <v>5</v>
      </c>
      <c r="G45" s="105" t="n">
        <f aca="false">(D45/F45)/12*3</f>
        <v>0.85</v>
      </c>
      <c r="H45" s="105" t="n">
        <f aca="false">G45/19</f>
        <v>0.0447368421052632</v>
      </c>
      <c r="I45" s="125"/>
      <c r="J45" s="125"/>
    </row>
    <row r="46" customFormat="false" ht="15.25" hidden="false" customHeight="false" outlineLevel="0" collapsed="false">
      <c r="A46" s="105"/>
      <c r="B46" s="105"/>
      <c r="C46" s="105"/>
      <c r="D46" s="105"/>
      <c r="E46" s="106"/>
      <c r="F46" s="106"/>
      <c r="G46" s="105"/>
      <c r="H46" s="105"/>
      <c r="I46" s="125"/>
      <c r="J46" s="125"/>
    </row>
    <row r="47" customFormat="false" ht="15.25" hidden="false" customHeight="false" outlineLevel="0" collapsed="false">
      <c r="A47" s="100" t="s">
        <v>206</v>
      </c>
      <c r="B47" s="100"/>
      <c r="C47" s="100"/>
      <c r="D47" s="100"/>
      <c r="E47" s="100"/>
      <c r="F47" s="100"/>
      <c r="G47" s="100"/>
      <c r="H47" s="100"/>
      <c r="I47" s="125"/>
      <c r="J47" s="125"/>
    </row>
    <row r="48" customFormat="false" ht="15.25" hidden="false" customHeight="false" outlineLevel="0" collapsed="false">
      <c r="A48" s="102" t="s">
        <v>171</v>
      </c>
      <c r="B48" s="102" t="s">
        <v>172</v>
      </c>
      <c r="C48" s="102" t="s">
        <v>173</v>
      </c>
      <c r="D48" s="102" t="s">
        <v>174</v>
      </c>
      <c r="E48" s="102" t="s">
        <v>190</v>
      </c>
      <c r="F48" s="102" t="s">
        <v>191</v>
      </c>
      <c r="G48" s="102" t="s">
        <v>192</v>
      </c>
      <c r="H48" s="102" t="s">
        <v>193</v>
      </c>
      <c r="I48" s="125"/>
      <c r="J48" s="125"/>
    </row>
    <row r="49" customFormat="false" ht="15.25" hidden="false" customHeight="false" outlineLevel="0" collapsed="false">
      <c r="A49" s="105" t="n">
        <v>6</v>
      </c>
      <c r="B49" s="105" t="n">
        <v>6</v>
      </c>
      <c r="C49" s="105" t="n">
        <v>6</v>
      </c>
      <c r="D49" s="105" t="n">
        <f aca="false">(A49+B49+C49)/3</f>
        <v>6</v>
      </c>
      <c r="E49" s="106" t="n">
        <v>1</v>
      </c>
      <c r="F49" s="107" t="n">
        <v>1</v>
      </c>
      <c r="G49" s="105" t="n">
        <f aca="false">(D49/F49)/12*57</f>
        <v>28.5</v>
      </c>
      <c r="H49" s="105" t="n">
        <f aca="false">G49/19</f>
        <v>1.5</v>
      </c>
      <c r="I49" s="125"/>
      <c r="J49" s="125"/>
    </row>
    <row r="50" customFormat="false" ht="15.25" hidden="false" customHeight="false" outlineLevel="0" collapsed="false">
      <c r="A50" s="105"/>
      <c r="B50" s="105"/>
      <c r="C50" s="105"/>
      <c r="D50" s="105"/>
      <c r="E50" s="106"/>
      <c r="F50" s="106"/>
      <c r="G50" s="105"/>
      <c r="H50" s="105"/>
      <c r="I50" s="125"/>
      <c r="J50" s="125"/>
    </row>
    <row r="51" customFormat="false" ht="15.25" hidden="false" customHeight="false" outlineLevel="0" collapsed="false">
      <c r="A51" s="100" t="s">
        <v>211</v>
      </c>
      <c r="B51" s="100"/>
      <c r="C51" s="100"/>
      <c r="D51" s="100"/>
      <c r="E51" s="100"/>
      <c r="F51" s="100"/>
      <c r="G51" s="100"/>
      <c r="H51" s="100"/>
      <c r="I51" s="125"/>
      <c r="J51" s="125"/>
    </row>
    <row r="52" customFormat="false" ht="15.25" hidden="false" customHeight="false" outlineLevel="0" collapsed="false">
      <c r="A52" s="102" t="s">
        <v>171</v>
      </c>
      <c r="B52" s="102" t="s">
        <v>172</v>
      </c>
      <c r="C52" s="102" t="s">
        <v>173</v>
      </c>
      <c r="D52" s="102" t="s">
        <v>174</v>
      </c>
      <c r="E52" s="102" t="s">
        <v>190</v>
      </c>
      <c r="F52" s="102" t="s">
        <v>191</v>
      </c>
      <c r="G52" s="102" t="s">
        <v>192</v>
      </c>
      <c r="H52" s="102" t="s">
        <v>193</v>
      </c>
      <c r="I52" s="125"/>
      <c r="J52" s="125"/>
    </row>
    <row r="53" customFormat="false" ht="15.25" hidden="false" customHeight="false" outlineLevel="0" collapsed="false">
      <c r="A53" s="105" t="n">
        <v>170.1</v>
      </c>
      <c r="B53" s="105" t="n">
        <v>140.7</v>
      </c>
      <c r="C53" s="105" t="n">
        <v>161.9</v>
      </c>
      <c r="D53" s="105" t="n">
        <f aca="false">(A53+B53+C53)/3</f>
        <v>157.566666666667</v>
      </c>
      <c r="E53" s="106" t="n">
        <v>1</v>
      </c>
      <c r="F53" s="107" t="n">
        <v>1</v>
      </c>
      <c r="G53" s="105" t="n">
        <f aca="false">(D53/F53)/12*30</f>
        <v>393.916666666667</v>
      </c>
      <c r="H53" s="105" t="n">
        <f aca="false">G53/10</f>
        <v>39.3916666666667</v>
      </c>
      <c r="I53" s="125"/>
      <c r="J53" s="125"/>
    </row>
    <row r="54" customFormat="false" ht="15.25" hidden="false" customHeight="false" outlineLevel="0" collapsed="false">
      <c r="A54" s="105"/>
      <c r="B54" s="105"/>
      <c r="C54" s="105"/>
      <c r="D54" s="105"/>
      <c r="E54" s="106"/>
      <c r="F54" s="106"/>
      <c r="G54" s="105"/>
      <c r="H54" s="105"/>
      <c r="I54" s="125"/>
      <c r="J54" s="125"/>
    </row>
    <row r="55" customFormat="false" ht="15.25" hidden="false" customHeight="false" outlineLevel="0" collapsed="false">
      <c r="A55" s="100" t="s">
        <v>207</v>
      </c>
      <c r="B55" s="100"/>
      <c r="C55" s="100"/>
      <c r="D55" s="100"/>
      <c r="E55" s="100"/>
      <c r="F55" s="100"/>
      <c r="G55" s="100"/>
      <c r="H55" s="100"/>
      <c r="I55" s="125"/>
      <c r="J55" s="125"/>
    </row>
    <row r="56" customFormat="false" ht="15.25" hidden="false" customHeight="false" outlineLevel="0" collapsed="false">
      <c r="A56" s="102" t="s">
        <v>171</v>
      </c>
      <c r="B56" s="102" t="s">
        <v>172</v>
      </c>
      <c r="C56" s="102" t="s">
        <v>173</v>
      </c>
      <c r="D56" s="102" t="s">
        <v>174</v>
      </c>
      <c r="E56" s="102" t="s">
        <v>190</v>
      </c>
      <c r="F56" s="102" t="s">
        <v>191</v>
      </c>
      <c r="G56" s="102" t="s">
        <v>192</v>
      </c>
      <c r="H56" s="102" t="s">
        <v>193</v>
      </c>
      <c r="I56" s="125"/>
      <c r="J56" s="125"/>
    </row>
    <row r="57" customFormat="false" ht="15.25" hidden="false" customHeight="false" outlineLevel="0" collapsed="false">
      <c r="A57" s="105" t="n">
        <v>80</v>
      </c>
      <c r="B57" s="105" t="n">
        <v>80</v>
      </c>
      <c r="C57" s="105" t="n">
        <v>75</v>
      </c>
      <c r="D57" s="105" t="n">
        <f aca="false">(A57+B57+C57)/3</f>
        <v>78.3333333333333</v>
      </c>
      <c r="E57" s="106" t="n">
        <v>1</v>
      </c>
      <c r="F57" s="107" t="n">
        <v>1</v>
      </c>
      <c r="G57" s="105" t="n">
        <f aca="false">(D57/F57)/12*60</f>
        <v>391.666666666667</v>
      </c>
      <c r="H57" s="105" t="n">
        <f aca="false">G57/10</f>
        <v>39.1666666666667</v>
      </c>
      <c r="I57" s="125"/>
      <c r="J57" s="125"/>
    </row>
    <row r="58" customFormat="false" ht="15.25" hidden="false" customHeight="false" outlineLevel="0" collapsed="false">
      <c r="A58" s="105"/>
      <c r="B58" s="105"/>
      <c r="C58" s="105"/>
      <c r="D58" s="105"/>
      <c r="E58" s="106"/>
      <c r="F58" s="106"/>
      <c r="G58" s="105"/>
      <c r="H58" s="105"/>
      <c r="I58" s="125"/>
      <c r="J58" s="125"/>
    </row>
    <row r="59" customFormat="false" ht="15.25" hidden="false" customHeight="false" outlineLevel="0" collapsed="false">
      <c r="A59" s="100" t="s">
        <v>208</v>
      </c>
      <c r="B59" s="100"/>
      <c r="C59" s="100"/>
      <c r="D59" s="100"/>
      <c r="E59" s="100"/>
      <c r="F59" s="100"/>
      <c r="G59" s="100"/>
      <c r="H59" s="100"/>
      <c r="I59" s="125"/>
      <c r="J59" s="125"/>
    </row>
    <row r="60" customFormat="false" ht="15.25" hidden="false" customHeight="false" outlineLevel="0" collapsed="false">
      <c r="A60" s="102" t="s">
        <v>171</v>
      </c>
      <c r="B60" s="102" t="s">
        <v>172</v>
      </c>
      <c r="C60" s="102" t="s">
        <v>173</v>
      </c>
      <c r="D60" s="102" t="s">
        <v>174</v>
      </c>
      <c r="E60" s="102" t="s">
        <v>190</v>
      </c>
      <c r="F60" s="102" t="s">
        <v>191</v>
      </c>
      <c r="G60" s="102" t="s">
        <v>192</v>
      </c>
      <c r="H60" s="102" t="s">
        <v>193</v>
      </c>
      <c r="I60" s="125"/>
      <c r="J60" s="125"/>
    </row>
    <row r="61" customFormat="false" ht="15.25" hidden="false" customHeight="false" outlineLevel="0" collapsed="false">
      <c r="A61" s="105" t="n">
        <v>15</v>
      </c>
      <c r="B61" s="105" t="n">
        <v>15</v>
      </c>
      <c r="C61" s="105" t="n">
        <v>15</v>
      </c>
      <c r="D61" s="105" t="n">
        <f aca="false">(A61+B61+C61)/3</f>
        <v>15</v>
      </c>
      <c r="E61" s="106" t="n">
        <v>1</v>
      </c>
      <c r="F61" s="107" t="n">
        <v>1</v>
      </c>
      <c r="G61" s="105" t="n">
        <f aca="false">(D61/F61)/12*114</f>
        <v>142.5</v>
      </c>
      <c r="H61" s="105" t="n">
        <f aca="false">G61/19</f>
        <v>7.5</v>
      </c>
      <c r="I61" s="125"/>
      <c r="J61" s="125"/>
    </row>
    <row r="62" customFormat="false" ht="15.25" hidden="false" customHeight="false" outlineLevel="0" collapsed="false">
      <c r="A62" s="105"/>
      <c r="B62" s="105"/>
      <c r="C62" s="105"/>
      <c r="D62" s="105"/>
      <c r="E62" s="106"/>
      <c r="F62" s="106"/>
      <c r="G62" s="105"/>
      <c r="H62" s="105"/>
      <c r="I62" s="125"/>
      <c r="J62" s="125"/>
    </row>
    <row r="63" customFormat="false" ht="15.25" hidden="false" customHeight="false" outlineLevel="0" collapsed="false">
      <c r="A63" s="100" t="s">
        <v>210</v>
      </c>
      <c r="B63" s="100"/>
      <c r="C63" s="100"/>
      <c r="D63" s="100"/>
      <c r="E63" s="100"/>
      <c r="F63" s="100"/>
      <c r="G63" s="100"/>
      <c r="H63" s="100"/>
      <c r="I63" s="125"/>
      <c r="J63" s="125"/>
    </row>
    <row r="64" customFormat="false" ht="15.25" hidden="false" customHeight="false" outlineLevel="0" collapsed="false">
      <c r="A64" s="102" t="s">
        <v>171</v>
      </c>
      <c r="B64" s="102" t="s">
        <v>172</v>
      </c>
      <c r="C64" s="102" t="s">
        <v>173</v>
      </c>
      <c r="D64" s="102" t="s">
        <v>174</v>
      </c>
      <c r="E64" s="102" t="s">
        <v>190</v>
      </c>
      <c r="F64" s="102" t="s">
        <v>191</v>
      </c>
      <c r="G64" s="102" t="s">
        <v>192</v>
      </c>
      <c r="H64" s="102" t="s">
        <v>193</v>
      </c>
      <c r="I64" s="125"/>
      <c r="J64" s="125"/>
    </row>
    <row r="65" customFormat="false" ht="15.25" hidden="false" customHeight="false" outlineLevel="0" collapsed="false">
      <c r="A65" s="105" t="n">
        <v>10</v>
      </c>
      <c r="B65" s="105" t="n">
        <v>10</v>
      </c>
      <c r="C65" s="105" t="n">
        <v>10</v>
      </c>
      <c r="D65" s="105" t="n">
        <f aca="false">(A65+B65+C65)/3</f>
        <v>10</v>
      </c>
      <c r="E65" s="106" t="n">
        <v>1</v>
      </c>
      <c r="F65" s="107" t="n">
        <v>1</v>
      </c>
      <c r="G65" s="105" t="n">
        <f aca="false">(D65/F65)/12*57</f>
        <v>47.5</v>
      </c>
      <c r="H65" s="105" t="n">
        <f aca="false">G65/19</f>
        <v>2.5</v>
      </c>
      <c r="I65" s="125"/>
      <c r="J65" s="125"/>
    </row>
    <row r="66" customFormat="false" ht="15.25" hidden="false" customHeight="false" outlineLevel="0" collapsed="false">
      <c r="A66" s="105"/>
      <c r="B66" s="105"/>
      <c r="C66" s="105"/>
      <c r="D66" s="105"/>
      <c r="E66" s="106"/>
      <c r="F66" s="106"/>
      <c r="G66" s="105"/>
      <c r="H66" s="105"/>
      <c r="I66" s="125"/>
      <c r="J66" s="125"/>
    </row>
    <row r="67" customFormat="false" ht="15.25" hidden="false" customHeight="false" outlineLevel="0" collapsed="false">
      <c r="A67" s="100" t="s">
        <v>212</v>
      </c>
      <c r="B67" s="100"/>
      <c r="C67" s="100"/>
      <c r="D67" s="100"/>
      <c r="E67" s="100"/>
      <c r="F67" s="100"/>
      <c r="G67" s="100"/>
      <c r="H67" s="100"/>
      <c r="I67" s="125"/>
      <c r="J67" s="125"/>
    </row>
    <row r="68" customFormat="false" ht="15.25" hidden="false" customHeight="false" outlineLevel="0" collapsed="false">
      <c r="A68" s="102" t="s">
        <v>171</v>
      </c>
      <c r="B68" s="102" t="s">
        <v>172</v>
      </c>
      <c r="C68" s="102" t="s">
        <v>173</v>
      </c>
      <c r="D68" s="102" t="s">
        <v>174</v>
      </c>
      <c r="E68" s="102" t="s">
        <v>190</v>
      </c>
      <c r="F68" s="102" t="s">
        <v>191</v>
      </c>
      <c r="G68" s="102" t="s">
        <v>192</v>
      </c>
      <c r="H68" s="102" t="s">
        <v>193</v>
      </c>
      <c r="I68" s="125"/>
      <c r="J68" s="125"/>
    </row>
    <row r="69" customFormat="false" ht="15.25" hidden="false" customHeight="false" outlineLevel="0" collapsed="false">
      <c r="A69" s="105" t="n">
        <v>25</v>
      </c>
      <c r="B69" s="105" t="n">
        <v>25</v>
      </c>
      <c r="C69" s="105" t="n">
        <v>25</v>
      </c>
      <c r="D69" s="105" t="n">
        <f aca="false">(A69+B69+C69)/3</f>
        <v>25</v>
      </c>
      <c r="E69" s="106" t="n">
        <v>1</v>
      </c>
      <c r="F69" s="107" t="n">
        <v>1</v>
      </c>
      <c r="G69" s="105" t="n">
        <f aca="false">(D69/F69)/12*57</f>
        <v>118.75</v>
      </c>
      <c r="H69" s="105" t="n">
        <f aca="false">G69/19</f>
        <v>6.25</v>
      </c>
      <c r="I69" s="125"/>
      <c r="J69" s="125"/>
    </row>
    <row r="70" customFormat="false" ht="15.25" hidden="false" customHeight="false" outlineLevel="0" collapsed="false">
      <c r="A70" s="105"/>
      <c r="B70" s="105"/>
      <c r="C70" s="105"/>
      <c r="D70" s="105"/>
      <c r="E70" s="106"/>
      <c r="F70" s="106"/>
      <c r="G70" s="105"/>
      <c r="H70" s="105"/>
      <c r="I70" s="125"/>
      <c r="J70" s="125"/>
    </row>
    <row r="71" customFormat="false" ht="15.25" hidden="false" customHeight="false" outlineLevel="0" collapsed="false">
      <c r="A71" s="100" t="s">
        <v>213</v>
      </c>
      <c r="B71" s="100"/>
      <c r="C71" s="100"/>
      <c r="D71" s="100"/>
      <c r="E71" s="100"/>
      <c r="F71" s="100"/>
      <c r="G71" s="100"/>
      <c r="H71" s="100"/>
      <c r="I71" s="125"/>
      <c r="J71" s="125"/>
    </row>
    <row r="72" customFormat="false" ht="15.25" hidden="false" customHeight="false" outlineLevel="0" collapsed="false">
      <c r="A72" s="102" t="s">
        <v>171</v>
      </c>
      <c r="B72" s="102" t="s">
        <v>172</v>
      </c>
      <c r="C72" s="102" t="s">
        <v>173</v>
      </c>
      <c r="D72" s="102" t="s">
        <v>174</v>
      </c>
      <c r="E72" s="102" t="s">
        <v>190</v>
      </c>
      <c r="F72" s="102" t="s">
        <v>191</v>
      </c>
      <c r="G72" s="102" t="s">
        <v>192</v>
      </c>
      <c r="H72" s="102" t="s">
        <v>193</v>
      </c>
      <c r="I72" s="125"/>
      <c r="J72" s="125"/>
    </row>
    <row r="73" customFormat="false" ht="15.25" hidden="false" customHeight="false" outlineLevel="0" collapsed="false">
      <c r="A73" s="105" t="n">
        <v>50</v>
      </c>
      <c r="B73" s="105" t="n">
        <v>35</v>
      </c>
      <c r="C73" s="105" t="n">
        <v>45</v>
      </c>
      <c r="D73" s="105" t="n">
        <f aca="false">(A73+B73+C73)/3</f>
        <v>43.3333333333333</v>
      </c>
      <c r="E73" s="106" t="n">
        <v>1</v>
      </c>
      <c r="F73" s="107" t="n">
        <v>1</v>
      </c>
      <c r="G73" s="105" t="n">
        <f aca="false">(D73/F73)/12*57</f>
        <v>205.833333333333</v>
      </c>
      <c r="H73" s="105" t="n">
        <f aca="false">G73/19</f>
        <v>10.8333333333333</v>
      </c>
      <c r="I73" s="125"/>
      <c r="J73" s="125"/>
    </row>
    <row r="74" customFormat="false" ht="15.25" hidden="false" customHeight="false" outlineLevel="0" collapsed="false">
      <c r="A74" s="105"/>
      <c r="B74" s="105"/>
      <c r="C74" s="105"/>
      <c r="D74" s="105"/>
      <c r="E74" s="106"/>
      <c r="F74" s="106"/>
      <c r="G74" s="105"/>
      <c r="H74" s="105"/>
      <c r="I74" s="125"/>
      <c r="J74" s="125"/>
    </row>
    <row r="75" customFormat="false" ht="15.25" hidden="false" customHeight="false" outlineLevel="0" collapsed="false">
      <c r="A75" s="100" t="s">
        <v>214</v>
      </c>
      <c r="B75" s="100"/>
      <c r="C75" s="100"/>
      <c r="D75" s="100"/>
      <c r="E75" s="100"/>
      <c r="F75" s="100"/>
      <c r="G75" s="100"/>
      <c r="H75" s="100"/>
      <c r="I75" s="125"/>
      <c r="J75" s="125"/>
    </row>
    <row r="76" customFormat="false" ht="15.25" hidden="false" customHeight="false" outlineLevel="0" collapsed="false">
      <c r="A76" s="102" t="s">
        <v>171</v>
      </c>
      <c r="B76" s="102" t="s">
        <v>172</v>
      </c>
      <c r="C76" s="102" t="s">
        <v>173</v>
      </c>
      <c r="D76" s="102" t="s">
        <v>174</v>
      </c>
      <c r="E76" s="102" t="s">
        <v>190</v>
      </c>
      <c r="F76" s="102" t="s">
        <v>191</v>
      </c>
      <c r="G76" s="102" t="s">
        <v>192</v>
      </c>
      <c r="H76" s="102" t="s">
        <v>193</v>
      </c>
      <c r="I76" s="125"/>
      <c r="J76" s="125"/>
    </row>
    <row r="77" customFormat="false" ht="15.25" hidden="false" customHeight="false" outlineLevel="0" collapsed="false">
      <c r="A77" s="105" t="n">
        <v>160</v>
      </c>
      <c r="B77" s="105" t="n">
        <v>250</v>
      </c>
      <c r="C77" s="105" t="n">
        <v>190</v>
      </c>
      <c r="D77" s="105" t="n">
        <f aca="false">(A77+B77+C77)/3</f>
        <v>200</v>
      </c>
      <c r="E77" s="106" t="n">
        <v>1</v>
      </c>
      <c r="F77" s="107" t="n">
        <v>1</v>
      </c>
      <c r="G77" s="105" t="n">
        <f aca="false">(D77/F77)/12*30</f>
        <v>500</v>
      </c>
      <c r="H77" s="105" t="n">
        <f aca="false">G77/10</f>
        <v>50</v>
      </c>
      <c r="I77" s="125"/>
      <c r="J77" s="125"/>
    </row>
    <row r="78" customFormat="false" ht="15.25" hidden="false" customHeight="false" outlineLevel="0" collapsed="false">
      <c r="A78" s="105"/>
      <c r="B78" s="105"/>
      <c r="C78" s="105"/>
      <c r="D78" s="105"/>
      <c r="E78" s="106"/>
      <c r="F78" s="106"/>
      <c r="G78" s="105"/>
      <c r="H78" s="105"/>
      <c r="I78" s="125"/>
      <c r="J78" s="125"/>
    </row>
    <row r="79" customFormat="false" ht="15.25" hidden="false" customHeight="false" outlineLevel="0" collapsed="false">
      <c r="A79" s="100" t="s">
        <v>215</v>
      </c>
      <c r="B79" s="100"/>
      <c r="C79" s="100"/>
      <c r="D79" s="100"/>
      <c r="E79" s="100"/>
      <c r="F79" s="100"/>
      <c r="G79" s="100"/>
      <c r="H79" s="100"/>
      <c r="I79" s="125"/>
      <c r="J79" s="125"/>
    </row>
    <row r="80" customFormat="false" ht="15.25" hidden="false" customHeight="false" outlineLevel="0" collapsed="false">
      <c r="A80" s="102" t="s">
        <v>171</v>
      </c>
      <c r="B80" s="102" t="s">
        <v>172</v>
      </c>
      <c r="C80" s="102" t="s">
        <v>173</v>
      </c>
      <c r="D80" s="102" t="s">
        <v>174</v>
      </c>
      <c r="E80" s="102" t="s">
        <v>190</v>
      </c>
      <c r="F80" s="102" t="s">
        <v>191</v>
      </c>
      <c r="G80" s="102" t="s">
        <v>192</v>
      </c>
      <c r="H80" s="102" t="s">
        <v>193</v>
      </c>
      <c r="I80" s="125"/>
      <c r="J80" s="125"/>
    </row>
    <row r="81" customFormat="false" ht="15.25" hidden="false" customHeight="false" outlineLevel="0" collapsed="false">
      <c r="A81" s="105" t="n">
        <v>3</v>
      </c>
      <c r="B81" s="105" t="n">
        <v>3</v>
      </c>
      <c r="C81" s="105" t="n">
        <v>3</v>
      </c>
      <c r="D81" s="105" t="n">
        <f aca="false">(A81+B81+C81)/3</f>
        <v>3</v>
      </c>
      <c r="E81" s="106" t="n">
        <v>1</v>
      </c>
      <c r="F81" s="107" t="n">
        <v>1</v>
      </c>
      <c r="G81" s="105" t="n">
        <f aca="false">A81/12*114</f>
        <v>28.5</v>
      </c>
      <c r="H81" s="105" t="n">
        <f aca="false">G81/19</f>
        <v>1.5</v>
      </c>
      <c r="I81" s="125"/>
      <c r="J81" s="125"/>
    </row>
    <row r="82" customFormat="false" ht="15.25" hidden="false" customHeight="false" outlineLevel="0" collapsed="false">
      <c r="A82" s="105"/>
      <c r="B82" s="105"/>
      <c r="C82" s="105"/>
      <c r="D82" s="105"/>
      <c r="E82" s="106"/>
      <c r="F82" s="106"/>
      <c r="G82" s="105"/>
      <c r="H82" s="105"/>
      <c r="I82" s="125"/>
      <c r="J82" s="125"/>
    </row>
    <row r="83" customFormat="false" ht="15.25" hidden="false" customHeight="false" outlineLevel="0" collapsed="false">
      <c r="A83" s="100" t="s">
        <v>209</v>
      </c>
      <c r="B83" s="100"/>
      <c r="C83" s="100"/>
      <c r="D83" s="100"/>
      <c r="E83" s="100"/>
      <c r="F83" s="100"/>
      <c r="G83" s="100"/>
      <c r="H83" s="100"/>
      <c r="I83" s="125"/>
      <c r="J83" s="125"/>
    </row>
    <row r="84" customFormat="false" ht="15.25" hidden="false" customHeight="false" outlineLevel="0" collapsed="false">
      <c r="A84" s="102" t="s">
        <v>171</v>
      </c>
      <c r="B84" s="102" t="s">
        <v>172</v>
      </c>
      <c r="C84" s="102" t="s">
        <v>173</v>
      </c>
      <c r="D84" s="102" t="s">
        <v>174</v>
      </c>
      <c r="E84" s="102" t="s">
        <v>190</v>
      </c>
      <c r="F84" s="102" t="s">
        <v>191</v>
      </c>
      <c r="G84" s="102" t="s">
        <v>192</v>
      </c>
      <c r="H84" s="102" t="s">
        <v>193</v>
      </c>
      <c r="I84" s="125"/>
      <c r="J84" s="125"/>
    </row>
    <row r="85" customFormat="false" ht="15.25" hidden="false" customHeight="false" outlineLevel="0" collapsed="false">
      <c r="A85" s="105" t="n">
        <v>32.4</v>
      </c>
      <c r="B85" s="105" t="n">
        <v>28.45</v>
      </c>
      <c r="C85" s="105" t="n">
        <v>39.06</v>
      </c>
      <c r="D85" s="105" t="n">
        <f aca="false">(A85+B85+C85)/3</f>
        <v>33.3033333333333</v>
      </c>
      <c r="E85" s="106" t="n">
        <v>1</v>
      </c>
      <c r="F85" s="107" t="n">
        <v>1</v>
      </c>
      <c r="G85" s="105" t="n">
        <f aca="false">(D85/F85)/12*30</f>
        <v>83.2583333333333</v>
      </c>
      <c r="H85" s="105" t="n">
        <f aca="false">G85/10</f>
        <v>8.32583333333333</v>
      </c>
      <c r="I85" s="125"/>
      <c r="J85" s="125"/>
    </row>
    <row r="86" customFormat="false" ht="15.25" hidden="false" customHeight="false" outlineLevel="0" collapsed="false">
      <c r="A86" s="105"/>
      <c r="B86" s="105"/>
      <c r="C86" s="105"/>
      <c r="D86" s="105"/>
      <c r="E86" s="106"/>
      <c r="F86" s="106"/>
      <c r="G86" s="105"/>
      <c r="H86" s="105"/>
      <c r="I86" s="125"/>
      <c r="J86" s="125"/>
    </row>
    <row r="87" customFormat="false" ht="15.25" hidden="false" customHeight="false" outlineLevel="0" collapsed="false">
      <c r="A87" s="100" t="s">
        <v>216</v>
      </c>
      <c r="B87" s="100"/>
      <c r="C87" s="100"/>
      <c r="D87" s="100"/>
      <c r="E87" s="100"/>
      <c r="F87" s="100"/>
      <c r="G87" s="100"/>
      <c r="H87" s="100"/>
      <c r="I87" s="125"/>
      <c r="J87" s="125"/>
    </row>
    <row r="88" customFormat="false" ht="15.25" hidden="false" customHeight="false" outlineLevel="0" collapsed="false">
      <c r="A88" s="102" t="s">
        <v>171</v>
      </c>
      <c r="B88" s="102" t="s">
        <v>172</v>
      </c>
      <c r="C88" s="102" t="s">
        <v>173</v>
      </c>
      <c r="D88" s="102" t="s">
        <v>174</v>
      </c>
      <c r="E88" s="102" t="s">
        <v>190</v>
      </c>
      <c r="F88" s="103" t="s">
        <v>191</v>
      </c>
      <c r="G88" s="102" t="s">
        <v>192</v>
      </c>
      <c r="H88" s="102" t="s">
        <v>193</v>
      </c>
      <c r="I88" s="125"/>
      <c r="J88" s="125"/>
    </row>
    <row r="89" customFormat="false" ht="15.25" hidden="false" customHeight="false" outlineLevel="0" collapsed="false">
      <c r="A89" s="105" t="n">
        <v>20</v>
      </c>
      <c r="B89" s="105" t="n">
        <v>20</v>
      </c>
      <c r="C89" s="105" t="n">
        <v>22</v>
      </c>
      <c r="D89" s="105" t="n">
        <f aca="false">(A89+B89+C89)/3</f>
        <v>20.6666666666667</v>
      </c>
      <c r="E89" s="106" t="n">
        <v>1</v>
      </c>
      <c r="F89" s="107" t="n">
        <v>1</v>
      </c>
      <c r="G89" s="105" t="n">
        <f aca="false">(D89/F89)/12*30</f>
        <v>51.6666666666667</v>
      </c>
      <c r="H89" s="105" t="n">
        <f aca="false">G89/10</f>
        <v>5.16666666666667</v>
      </c>
      <c r="I89" s="125"/>
      <c r="J89" s="125"/>
    </row>
    <row r="90" customFormat="false" ht="15.25" hidden="false" customHeight="false" outlineLevel="0" collapsed="false">
      <c r="A90" s="105"/>
      <c r="B90" s="105"/>
      <c r="C90" s="105"/>
      <c r="D90" s="105"/>
      <c r="E90" s="106"/>
      <c r="F90" s="106"/>
      <c r="G90" s="105"/>
      <c r="H90" s="105"/>
      <c r="I90" s="125"/>
      <c r="J90" s="125"/>
    </row>
    <row r="91" customFormat="false" ht="15.25" hidden="false" customHeight="false" outlineLevel="0" collapsed="false">
      <c r="A91" s="127" t="s">
        <v>245</v>
      </c>
      <c r="B91" s="127"/>
      <c r="C91" s="127"/>
      <c r="D91" s="127"/>
      <c r="E91" s="127"/>
      <c r="F91" s="127"/>
      <c r="G91" s="114" t="n">
        <f aca="false">(G5+G9+G13+G17+G21+G25+G29+G33+G37+G41+G45+G49+G53+G57+G61+G65+G69+G73+G77+G81+G85+G89)</f>
        <v>2249.64772222222</v>
      </c>
      <c r="H91" s="114" t="n">
        <f aca="false">(H5+H9+H13+H17+H21+H25+H29+H33+H37+H41+H45+H49+H53+H57+H61+H65+H69+H73+H77+H81+H85+H89)</f>
        <v>186.356679174789</v>
      </c>
      <c r="I91" s="125"/>
      <c r="J91" s="125"/>
    </row>
    <row r="92" customFormat="false" ht="15.25" hidden="false" customHeight="false" outlineLevel="0" collapsed="false">
      <c r="A92" s="134"/>
      <c r="B92" s="135"/>
      <c r="C92" s="135"/>
      <c r="D92" s="135"/>
      <c r="E92" s="135"/>
      <c r="F92" s="135"/>
      <c r="G92" s="136"/>
      <c r="H92" s="136"/>
      <c r="I92" s="125"/>
      <c r="J92" s="125"/>
    </row>
    <row r="93" customFormat="false" ht="15.25" hidden="false" customHeight="false" outlineLevel="0" collapsed="false">
      <c r="A93" s="100" t="s">
        <v>246</v>
      </c>
      <c r="B93" s="100"/>
      <c r="C93" s="100"/>
      <c r="D93" s="100"/>
      <c r="E93" s="100"/>
      <c r="F93" s="100"/>
      <c r="G93" s="100"/>
      <c r="H93" s="100"/>
      <c r="I93" s="125"/>
      <c r="J93" s="125"/>
    </row>
    <row r="94" customFormat="false" ht="15.25" hidden="false" customHeight="false" outlineLevel="0" collapsed="false">
      <c r="A94" s="102" t="s">
        <v>171</v>
      </c>
      <c r="B94" s="102" t="s">
        <v>172</v>
      </c>
      <c r="C94" s="102" t="s">
        <v>173</v>
      </c>
      <c r="D94" s="102" t="s">
        <v>174</v>
      </c>
      <c r="E94" s="102" t="s">
        <v>190</v>
      </c>
      <c r="F94" s="102" t="s">
        <v>191</v>
      </c>
      <c r="G94" s="102" t="s">
        <v>192</v>
      </c>
      <c r="H94" s="102" t="s">
        <v>193</v>
      </c>
      <c r="I94" s="125"/>
      <c r="J94" s="125"/>
    </row>
    <row r="95" customFormat="false" ht="15.25" hidden="false" customHeight="false" outlineLevel="0" collapsed="false">
      <c r="A95" s="105" t="n">
        <v>38053.13</v>
      </c>
      <c r="B95" s="105" t="n">
        <v>33760.53</v>
      </c>
      <c r="C95" s="105" t="n">
        <v>44339.89</v>
      </c>
      <c r="D95" s="105" t="n">
        <f aca="false">(A95+B95+C95)/3</f>
        <v>38717.85</v>
      </c>
      <c r="E95" s="106" t="n">
        <v>0.25</v>
      </c>
      <c r="F95" s="107" t="n">
        <v>4</v>
      </c>
      <c r="G95" s="137" t="n">
        <f aca="false">(D95/F95)/12</f>
        <v>806.621875</v>
      </c>
      <c r="H95" s="137" t="n">
        <f aca="false">G95/4</f>
        <v>201.65546875</v>
      </c>
      <c r="I95" s="125"/>
      <c r="J95" s="125"/>
    </row>
    <row r="96" customFormat="false" ht="15.25" hidden="false" customHeight="false" outlineLevel="0" collapsed="false">
      <c r="A96" s="105"/>
      <c r="B96" s="105"/>
      <c r="C96" s="105"/>
      <c r="D96" s="105"/>
      <c r="E96" s="106"/>
      <c r="F96" s="106"/>
      <c r="G96" s="105"/>
      <c r="H96" s="105"/>
      <c r="I96" s="125"/>
      <c r="J96" s="125"/>
    </row>
    <row r="97" customFormat="false" ht="15.25" hidden="false" customHeight="false" outlineLevel="0" collapsed="false">
      <c r="A97" s="100" t="s">
        <v>247</v>
      </c>
      <c r="B97" s="100"/>
      <c r="C97" s="100"/>
      <c r="D97" s="100"/>
      <c r="E97" s="100"/>
      <c r="F97" s="100"/>
      <c r="G97" s="100"/>
      <c r="H97" s="100"/>
      <c r="I97" s="125"/>
      <c r="J97" s="125"/>
    </row>
    <row r="98" customFormat="false" ht="15.25" hidden="false" customHeight="false" outlineLevel="0" collapsed="false">
      <c r="A98" s="102" t="s">
        <v>171</v>
      </c>
      <c r="B98" s="102" t="s">
        <v>172</v>
      </c>
      <c r="C98" s="102" t="s">
        <v>173</v>
      </c>
      <c r="D98" s="102" t="s">
        <v>174</v>
      </c>
      <c r="E98" s="102" t="s">
        <v>190</v>
      </c>
      <c r="F98" s="102" t="s">
        <v>234</v>
      </c>
      <c r="G98" s="102" t="s">
        <v>192</v>
      </c>
      <c r="H98" s="102" t="s">
        <v>193</v>
      </c>
      <c r="I98" s="125"/>
      <c r="J98" s="125"/>
    </row>
    <row r="99" customFormat="false" ht="15.25" hidden="false" customHeight="false" outlineLevel="0" collapsed="false">
      <c r="A99" s="105" t="n">
        <v>4.11</v>
      </c>
      <c r="B99" s="105" t="n">
        <v>4.11</v>
      </c>
      <c r="C99" s="105" t="n">
        <v>4.11</v>
      </c>
      <c r="D99" s="105" t="n">
        <f aca="false">(A99+B99+C99)/3</f>
        <v>4.11</v>
      </c>
      <c r="E99" s="106" t="n">
        <v>0</v>
      </c>
      <c r="F99" s="107" t="s">
        <v>236</v>
      </c>
      <c r="G99" s="137" t="n">
        <f aca="false">D99*300</f>
        <v>1233</v>
      </c>
      <c r="H99" s="137" t="n">
        <f aca="false">G99/4</f>
        <v>308.25</v>
      </c>
      <c r="I99" s="125"/>
      <c r="J99" s="125"/>
    </row>
    <row r="100" customFormat="false" ht="15.25" hidden="false" customHeight="false" outlineLevel="0" collapsed="false">
      <c r="A100" s="131"/>
      <c r="B100" s="131"/>
      <c r="C100" s="131"/>
      <c r="D100" s="131"/>
      <c r="E100" s="131"/>
      <c r="F100" s="131"/>
      <c r="G100" s="131"/>
      <c r="H100" s="105"/>
      <c r="I100" s="125"/>
      <c r="J100" s="125"/>
    </row>
    <row r="101" customFormat="false" ht="15.25" hidden="false" customHeight="false" outlineLevel="0" collapsed="false">
      <c r="A101" s="132" t="s">
        <v>248</v>
      </c>
      <c r="B101" s="132"/>
      <c r="C101" s="132"/>
      <c r="D101" s="132"/>
      <c r="E101" s="132"/>
      <c r="F101" s="132"/>
      <c r="G101" s="132"/>
      <c r="H101" s="136"/>
      <c r="I101" s="125"/>
      <c r="J101" s="125"/>
    </row>
    <row r="102" customFormat="false" ht="15.25" hidden="false" customHeight="false" outlineLevel="0" collapsed="false">
      <c r="A102" s="134"/>
      <c r="B102" s="135"/>
      <c r="C102" s="135"/>
      <c r="D102" s="135"/>
      <c r="E102" s="135"/>
      <c r="F102" s="135"/>
      <c r="G102" s="136"/>
      <c r="H102" s="136"/>
      <c r="I102" s="125"/>
      <c r="J102" s="125"/>
    </row>
    <row r="104" customFormat="false" ht="15.25" hidden="false" customHeight="false" outlineLevel="0" collapsed="false">
      <c r="A104" s="118" t="s">
        <v>249</v>
      </c>
      <c r="B104" s="118"/>
      <c r="C104" s="118"/>
      <c r="D104" s="118"/>
      <c r="E104" s="118"/>
      <c r="F104" s="118"/>
      <c r="G104" s="119" t="n">
        <f aca="false">(G5+G9+G13+G17+G21+G25+G29+G33+G37+G41+G45)</f>
        <v>257.556055555556</v>
      </c>
      <c r="H104" s="119" t="n">
        <f aca="false">(H5+H9+H13+H17+H21+H25+H29+H33+H37+H41+H45)</f>
        <v>14.2225125081222</v>
      </c>
    </row>
    <row r="106" customFormat="false" ht="15.25" hidden="false" customHeight="false" outlineLevel="0" collapsed="false">
      <c r="A106" s="120" t="s">
        <v>250</v>
      </c>
      <c r="B106" s="120"/>
      <c r="C106" s="120"/>
      <c r="D106" s="120"/>
      <c r="E106" s="120"/>
      <c r="F106" s="120"/>
      <c r="G106" s="121" t="n">
        <f aca="false">(G49+G53+G57+G61+G65+G69+G73+G77+G81+G85+G89)</f>
        <v>1992.09166666667</v>
      </c>
      <c r="H106" s="121" t="n">
        <f aca="false">(H49+H53+H57+H61+H65+H69+H73+H77+H81+H85+H89)</f>
        <v>172.134166666667</v>
      </c>
    </row>
    <row r="108" customFormat="false" ht="15.25" hidden="false" customHeight="false" outlineLevel="0" collapsed="false">
      <c r="A108" s="122" t="s">
        <v>251</v>
      </c>
      <c r="B108" s="122"/>
      <c r="C108" s="122"/>
      <c r="D108" s="122"/>
      <c r="E108" s="122"/>
      <c r="F108" s="122"/>
      <c r="G108" s="123" t="n">
        <v>4500</v>
      </c>
      <c r="H108" s="123" t="n">
        <f aca="false">G108/28</f>
        <v>160.714285714286</v>
      </c>
    </row>
    <row r="110" customFormat="false" ht="13.9" hidden="false" customHeight="true" outlineLevel="0" collapsed="false">
      <c r="A110" s="124" t="s">
        <v>242</v>
      </c>
      <c r="B110" s="124"/>
      <c r="C110" s="124"/>
      <c r="D110" s="124"/>
      <c r="E110" s="124"/>
      <c r="F110" s="124"/>
      <c r="G110" s="124"/>
      <c r="H110" s="124"/>
    </row>
    <row r="111" customFormat="false" ht="17.65" hidden="false" customHeight="true" outlineLevel="0" collapsed="false">
      <c r="A111" s="124"/>
      <c r="B111" s="124"/>
      <c r="C111" s="124"/>
      <c r="D111" s="124"/>
      <c r="E111" s="124"/>
      <c r="F111" s="124"/>
      <c r="G111" s="124"/>
      <c r="H111" s="124"/>
    </row>
    <row r="113" customFormat="false" ht="14.9" hidden="false" customHeight="false" outlineLevel="0" collapsed="false">
      <c r="A113" s="138" t="s">
        <v>252</v>
      </c>
      <c r="B113" s="138"/>
      <c r="C113" s="138"/>
      <c r="D113" s="138"/>
      <c r="E113" s="138"/>
      <c r="F113" s="138"/>
      <c r="G113" s="138"/>
      <c r="H113" s="138"/>
      <c r="I113" s="138"/>
      <c r="J113" s="138"/>
      <c r="K113" s="138"/>
    </row>
  </sheetData>
  <mergeCells count="34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H59"/>
    <mergeCell ref="A63:H63"/>
    <mergeCell ref="A67:H67"/>
    <mergeCell ref="A71:H71"/>
    <mergeCell ref="A75:H75"/>
    <mergeCell ref="A79:H79"/>
    <mergeCell ref="A83:H83"/>
    <mergeCell ref="A87:H87"/>
    <mergeCell ref="A91:F91"/>
    <mergeCell ref="A93:H93"/>
    <mergeCell ref="A97:H97"/>
    <mergeCell ref="A100:G100"/>
    <mergeCell ref="A101:G101"/>
    <mergeCell ref="A104:F104"/>
    <mergeCell ref="A106:F106"/>
    <mergeCell ref="A108:F108"/>
    <mergeCell ref="A110:H111"/>
    <mergeCell ref="A113:K11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00"/>
  <sheetViews>
    <sheetView windowProtection="false" showFormulas="false" showGridLines="true" showRowColHeaders="true" showZeros="true" rightToLeft="false" tabSelected="false" showOutlineSymbols="true" defaultGridColor="true" view="normal" topLeftCell="A67" colorId="64" zoomScale="60" zoomScaleNormal="60" zoomScalePageLayoutView="100" workbookViewId="0">
      <selection pane="topLeft" activeCell="F30" activeCellId="0" sqref="F30"/>
    </sheetView>
  </sheetViews>
  <sheetFormatPr defaultRowHeight="14.05"/>
  <cols>
    <col collapsed="false" hidden="false" max="1" min="1" style="0" width="18.5813953488372"/>
    <col collapsed="false" hidden="false" max="4" min="2" style="0" width="20.9209302325581"/>
    <col collapsed="false" hidden="false" max="5" min="5" style="0" width="25.4744186046512"/>
    <col collapsed="false" hidden="false" max="6" min="6" style="0" width="43.1953488372093"/>
    <col collapsed="false" hidden="false" max="7" min="7" style="0" width="23.506976744186"/>
    <col collapsed="false" hidden="false" max="8" min="8" style="0" width="25.7209302325581"/>
    <col collapsed="false" hidden="false" max="1025" min="9" style="0" width="13.4139534883721"/>
  </cols>
  <sheetData>
    <row r="1" customFormat="false" ht="17.65" hidden="false" customHeight="false" outlineLevel="0" collapsed="false">
      <c r="A1" s="99" t="s">
        <v>253</v>
      </c>
      <c r="B1" s="99"/>
      <c r="C1" s="99"/>
      <c r="D1" s="99"/>
      <c r="E1" s="99"/>
      <c r="F1" s="99"/>
      <c r="G1" s="99"/>
      <c r="H1" s="99"/>
      <c r="I1" s="125"/>
      <c r="J1" s="125"/>
    </row>
    <row r="2" customFormat="false" ht="14.0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125"/>
      <c r="J2" s="125"/>
    </row>
    <row r="3" customFormat="false" ht="15.25" hidden="false" customHeight="false" outlineLevel="0" collapsed="false">
      <c r="A3" s="100" t="s">
        <v>188</v>
      </c>
      <c r="B3" s="100"/>
      <c r="C3" s="100"/>
      <c r="D3" s="100"/>
      <c r="E3" s="100"/>
      <c r="F3" s="100"/>
      <c r="G3" s="100"/>
      <c r="H3" s="100"/>
      <c r="I3" s="125"/>
      <c r="J3" s="125"/>
    </row>
    <row r="4" customFormat="false" ht="15.25" hidden="false" customHeight="false" outlineLevel="0" collapsed="false">
      <c r="A4" s="102" t="s">
        <v>171</v>
      </c>
      <c r="B4" s="102" t="s">
        <v>172</v>
      </c>
      <c r="C4" s="102" t="s">
        <v>173</v>
      </c>
      <c r="D4" s="102" t="s">
        <v>174</v>
      </c>
      <c r="E4" s="102" t="s">
        <v>190</v>
      </c>
      <c r="F4" s="102" t="s">
        <v>191</v>
      </c>
      <c r="G4" s="102" t="s">
        <v>192</v>
      </c>
      <c r="H4" s="102" t="s">
        <v>193</v>
      </c>
      <c r="I4" s="125"/>
      <c r="J4" s="125"/>
    </row>
    <row r="5" customFormat="false" ht="15.25" hidden="false" customHeight="false" outlineLevel="0" collapsed="false">
      <c r="A5" s="105" t="n">
        <v>1500</v>
      </c>
      <c r="B5" s="105" t="n">
        <v>1950</v>
      </c>
      <c r="C5" s="105" t="n">
        <v>2000</v>
      </c>
      <c r="D5" s="105" t="n">
        <f aca="false">(A5+B5+C5)/3</f>
        <v>1816.66666666667</v>
      </c>
      <c r="E5" s="106" t="n">
        <v>0.1</v>
      </c>
      <c r="F5" s="107" t="n">
        <v>10</v>
      </c>
      <c r="G5" s="105" t="n">
        <f aca="false">(D5/F5)/12</f>
        <v>15.1388888888889</v>
      </c>
      <c r="H5" s="105" t="n">
        <f aca="false">G5/18</f>
        <v>0.841049382716049</v>
      </c>
      <c r="I5" s="125"/>
      <c r="J5" s="125"/>
    </row>
    <row r="6" customFormat="false" ht="14.05" hidden="false" customHeight="false" outlineLevel="0" collapsed="false">
      <c r="I6" s="125"/>
      <c r="J6" s="125"/>
    </row>
    <row r="7" customFormat="false" ht="15.25" hidden="false" customHeight="false" outlineLevel="0" collapsed="false">
      <c r="A7" s="100" t="s">
        <v>194</v>
      </c>
      <c r="B7" s="100"/>
      <c r="C7" s="100"/>
      <c r="D7" s="100"/>
      <c r="E7" s="100"/>
      <c r="F7" s="100"/>
      <c r="G7" s="100"/>
      <c r="H7" s="100"/>
      <c r="I7" s="125"/>
      <c r="J7" s="125"/>
    </row>
    <row r="8" customFormat="false" ht="15.25" hidden="false" customHeight="false" outlineLevel="0" collapsed="false">
      <c r="A8" s="102" t="s">
        <v>171</v>
      </c>
      <c r="B8" s="102" t="s">
        <v>172</v>
      </c>
      <c r="C8" s="102" t="s">
        <v>173</v>
      </c>
      <c r="D8" s="102" t="s">
        <v>174</v>
      </c>
      <c r="E8" s="102" t="s">
        <v>190</v>
      </c>
      <c r="F8" s="102" t="s">
        <v>191</v>
      </c>
      <c r="G8" s="102" t="s">
        <v>192</v>
      </c>
      <c r="H8" s="102" t="s">
        <v>193</v>
      </c>
      <c r="I8" s="125"/>
      <c r="J8" s="125"/>
    </row>
    <row r="9" customFormat="false" ht="15.25" hidden="false" customHeight="false" outlineLevel="0" collapsed="false">
      <c r="A9" s="105" t="n">
        <v>150</v>
      </c>
      <c r="B9" s="105" t="n">
        <v>150</v>
      </c>
      <c r="C9" s="105" t="n">
        <v>150</v>
      </c>
      <c r="D9" s="105" t="n">
        <f aca="false">(A9+B9+C9)/3</f>
        <v>150</v>
      </c>
      <c r="E9" s="106" t="n">
        <v>0.1</v>
      </c>
      <c r="F9" s="107" t="n">
        <v>10</v>
      </c>
      <c r="G9" s="105" t="n">
        <f aca="false">(D9/F9)/12*9</f>
        <v>11.25</v>
      </c>
      <c r="H9" s="105" t="n">
        <f aca="false">G9/18</f>
        <v>0.625</v>
      </c>
      <c r="I9" s="125"/>
      <c r="J9" s="125"/>
    </row>
    <row r="10" customFormat="false" ht="14.05" hidden="false" customHeight="false" outlineLevel="0" collapsed="false">
      <c r="I10" s="125"/>
      <c r="J10" s="125"/>
    </row>
    <row r="11" customFormat="false" ht="15.25" hidden="false" customHeight="false" outlineLevel="0" collapsed="false">
      <c r="A11" s="100" t="s">
        <v>197</v>
      </c>
      <c r="B11" s="100"/>
      <c r="C11" s="100"/>
      <c r="D11" s="100"/>
      <c r="E11" s="100"/>
      <c r="F11" s="100"/>
      <c r="G11" s="100"/>
      <c r="H11" s="100"/>
      <c r="I11" s="125"/>
      <c r="J11" s="125"/>
    </row>
    <row r="12" customFormat="false" ht="15.25" hidden="false" customHeight="false" outlineLevel="0" collapsed="false">
      <c r="A12" s="102" t="s">
        <v>171</v>
      </c>
      <c r="B12" s="102" t="s">
        <v>172</v>
      </c>
      <c r="C12" s="102" t="s">
        <v>173</v>
      </c>
      <c r="D12" s="102" t="s">
        <v>174</v>
      </c>
      <c r="E12" s="102" t="s">
        <v>190</v>
      </c>
      <c r="F12" s="102" t="s">
        <v>191</v>
      </c>
      <c r="G12" s="102" t="s">
        <v>192</v>
      </c>
      <c r="H12" s="102" t="s">
        <v>193</v>
      </c>
      <c r="I12" s="125"/>
      <c r="J12" s="125"/>
    </row>
    <row r="13" customFormat="false" ht="15.25" hidden="false" customHeight="false" outlineLevel="0" collapsed="false">
      <c r="A13" s="105" t="n">
        <v>989</v>
      </c>
      <c r="B13" s="105" t="n">
        <v>1124.57</v>
      </c>
      <c r="C13" s="105" t="n">
        <v>1180</v>
      </c>
      <c r="D13" s="105" t="n">
        <f aca="false">(A13+B13+C13)/3</f>
        <v>1097.85666666667</v>
      </c>
      <c r="E13" s="106" t="n">
        <v>0.1</v>
      </c>
      <c r="F13" s="107" t="n">
        <v>10</v>
      </c>
      <c r="G13" s="105" t="n">
        <f aca="false">(D13/F13)/12</f>
        <v>9.14880555555556</v>
      </c>
      <c r="H13" s="105" t="n">
        <f aca="false">G13/19</f>
        <v>0.481516081871345</v>
      </c>
      <c r="I13" s="125"/>
      <c r="J13" s="125"/>
    </row>
    <row r="14" customFormat="false" ht="14.05" hidden="false" customHeight="false" outlineLevel="0" collapsed="false">
      <c r="I14" s="125"/>
      <c r="J14" s="125"/>
    </row>
    <row r="15" customFormat="false" ht="15.25" hidden="false" customHeight="false" outlineLevel="0" collapsed="false">
      <c r="A15" s="100" t="s">
        <v>198</v>
      </c>
      <c r="B15" s="100"/>
      <c r="C15" s="100"/>
      <c r="D15" s="100"/>
      <c r="E15" s="100"/>
      <c r="F15" s="100"/>
      <c r="G15" s="100"/>
      <c r="H15" s="100"/>
      <c r="I15" s="125"/>
      <c r="J15" s="125"/>
    </row>
    <row r="16" customFormat="false" ht="15.25" hidden="false" customHeight="false" outlineLevel="0" collapsed="false">
      <c r="A16" s="102" t="s">
        <v>171</v>
      </c>
      <c r="B16" s="102" t="s">
        <v>172</v>
      </c>
      <c r="C16" s="102" t="s">
        <v>173</v>
      </c>
      <c r="D16" s="102" t="s">
        <v>174</v>
      </c>
      <c r="E16" s="102" t="s">
        <v>190</v>
      </c>
      <c r="F16" s="102" t="s">
        <v>191</v>
      </c>
      <c r="G16" s="102" t="s">
        <v>192</v>
      </c>
      <c r="H16" s="102" t="s">
        <v>193</v>
      </c>
      <c r="I16" s="125"/>
      <c r="J16" s="125"/>
    </row>
    <row r="17" customFormat="false" ht="15.25" hidden="false" customHeight="false" outlineLevel="0" collapsed="false">
      <c r="A17" s="105" t="n">
        <v>1050</v>
      </c>
      <c r="B17" s="105" t="n">
        <v>1050</v>
      </c>
      <c r="C17" s="105" t="n">
        <v>1050</v>
      </c>
      <c r="D17" s="105" t="n">
        <f aca="false">(A17+B17+C17)/3</f>
        <v>1050</v>
      </c>
      <c r="E17" s="106" t="n">
        <v>0.2</v>
      </c>
      <c r="F17" s="107" t="n">
        <v>5</v>
      </c>
      <c r="G17" s="105" t="n">
        <f aca="false">(D17/F17)/12*5</f>
        <v>87.5</v>
      </c>
      <c r="H17" s="105" t="n">
        <f aca="false">G17/18</f>
        <v>4.86111111111111</v>
      </c>
      <c r="I17" s="125"/>
      <c r="J17" s="125"/>
    </row>
    <row r="18" customFormat="false" ht="14.05" hidden="false" customHeight="false" outlineLevel="0" collapsed="false">
      <c r="I18" s="125"/>
      <c r="J18" s="125"/>
    </row>
    <row r="19" customFormat="false" ht="15.25" hidden="false" customHeight="false" outlineLevel="0" collapsed="false">
      <c r="A19" s="100" t="s">
        <v>199</v>
      </c>
      <c r="B19" s="100"/>
      <c r="C19" s="100"/>
      <c r="D19" s="100"/>
      <c r="E19" s="100"/>
      <c r="F19" s="100"/>
      <c r="G19" s="100"/>
      <c r="H19" s="100"/>
      <c r="I19" s="125"/>
      <c r="J19" s="125"/>
    </row>
    <row r="20" customFormat="false" ht="15.25" hidden="false" customHeight="false" outlineLevel="0" collapsed="false">
      <c r="A20" s="102" t="s">
        <v>171</v>
      </c>
      <c r="B20" s="102" t="s">
        <v>172</v>
      </c>
      <c r="C20" s="102" t="s">
        <v>173</v>
      </c>
      <c r="D20" s="102" t="s">
        <v>174</v>
      </c>
      <c r="E20" s="102" t="s">
        <v>190</v>
      </c>
      <c r="F20" s="102" t="s">
        <v>191</v>
      </c>
      <c r="G20" s="102" t="s">
        <v>192</v>
      </c>
      <c r="H20" s="102" t="s">
        <v>193</v>
      </c>
      <c r="I20" s="125"/>
      <c r="J20" s="125"/>
    </row>
    <row r="21" customFormat="false" ht="15.25" hidden="false" customHeight="false" outlineLevel="0" collapsed="false">
      <c r="A21" s="105" t="n">
        <v>180</v>
      </c>
      <c r="B21" s="105" t="n">
        <v>150</v>
      </c>
      <c r="C21" s="105" t="n">
        <v>175</v>
      </c>
      <c r="D21" s="105" t="n">
        <f aca="false">(A21+B21+C21)/3</f>
        <v>168.333333333333</v>
      </c>
      <c r="E21" s="106" t="n">
        <v>0.25</v>
      </c>
      <c r="F21" s="107" t="n">
        <v>4</v>
      </c>
      <c r="G21" s="105" t="n">
        <f aca="false">(D21/F21)/12*5</f>
        <v>17.5347222222222</v>
      </c>
      <c r="H21" s="105" t="n">
        <f aca="false">G21/18</f>
        <v>0.974151234567901</v>
      </c>
      <c r="I21" s="125"/>
      <c r="J21" s="125"/>
    </row>
    <row r="22" customFormat="false" ht="14.05" hidden="false" customHeight="false" outlineLevel="0" collapsed="false">
      <c r="I22" s="125"/>
      <c r="J22" s="125"/>
    </row>
    <row r="23" customFormat="false" ht="15.25" hidden="false" customHeight="false" outlineLevel="0" collapsed="false">
      <c r="A23" s="100" t="s">
        <v>224</v>
      </c>
      <c r="B23" s="100"/>
      <c r="C23" s="100"/>
      <c r="D23" s="100"/>
      <c r="E23" s="100"/>
      <c r="F23" s="100"/>
      <c r="G23" s="100"/>
      <c r="H23" s="100"/>
      <c r="I23" s="125"/>
      <c r="J23" s="125"/>
    </row>
    <row r="24" customFormat="false" ht="15.25" hidden="false" customHeight="false" outlineLevel="0" collapsed="false">
      <c r="A24" s="102" t="s">
        <v>171</v>
      </c>
      <c r="B24" s="102" t="s">
        <v>172</v>
      </c>
      <c r="C24" s="102" t="s">
        <v>173</v>
      </c>
      <c r="D24" s="102" t="s">
        <v>174</v>
      </c>
      <c r="E24" s="102" t="s">
        <v>190</v>
      </c>
      <c r="F24" s="102" t="s">
        <v>191</v>
      </c>
      <c r="G24" s="102" t="s">
        <v>192</v>
      </c>
      <c r="H24" s="102" t="s">
        <v>193</v>
      </c>
      <c r="I24" s="125"/>
      <c r="J24" s="125"/>
    </row>
    <row r="25" customFormat="false" ht="15.25" hidden="false" customHeight="false" outlineLevel="0" collapsed="false">
      <c r="A25" s="105" t="n">
        <v>10</v>
      </c>
      <c r="B25" s="105" t="n">
        <v>10</v>
      </c>
      <c r="C25" s="105" t="n">
        <v>10</v>
      </c>
      <c r="D25" s="105" t="n">
        <f aca="false">(A25+B25+C25)/3</f>
        <v>10</v>
      </c>
      <c r="E25" s="106" t="n">
        <v>0.25</v>
      </c>
      <c r="F25" s="107" t="n">
        <v>4</v>
      </c>
      <c r="G25" s="105" t="n">
        <f aca="false">(D25/F25)/12*5</f>
        <v>1.04166666666667</v>
      </c>
      <c r="H25" s="105" t="n">
        <f aca="false">G25/19</f>
        <v>0.0548245614035088</v>
      </c>
      <c r="I25" s="125"/>
      <c r="J25" s="125"/>
    </row>
    <row r="26" customFormat="false" ht="14.05" hidden="false" customHeight="false" outlineLevel="0" collapsed="false">
      <c r="I26" s="125"/>
      <c r="J26" s="125"/>
    </row>
    <row r="27" customFormat="false" ht="15.25" hidden="false" customHeight="false" outlineLevel="0" collapsed="false">
      <c r="A27" s="100" t="s">
        <v>201</v>
      </c>
      <c r="B27" s="100"/>
      <c r="C27" s="100"/>
      <c r="D27" s="100"/>
      <c r="E27" s="100"/>
      <c r="F27" s="100"/>
      <c r="G27" s="100"/>
      <c r="H27" s="100"/>
      <c r="I27" s="125"/>
      <c r="J27" s="125"/>
    </row>
    <row r="28" customFormat="false" ht="15.25" hidden="false" customHeight="false" outlineLevel="0" collapsed="false">
      <c r="A28" s="102" t="s">
        <v>171</v>
      </c>
      <c r="B28" s="102" t="s">
        <v>172</v>
      </c>
      <c r="C28" s="102" t="s">
        <v>173</v>
      </c>
      <c r="D28" s="102" t="s">
        <v>174</v>
      </c>
      <c r="E28" s="102" t="s">
        <v>190</v>
      </c>
      <c r="F28" s="102" t="s">
        <v>191</v>
      </c>
      <c r="G28" s="102" t="s">
        <v>192</v>
      </c>
      <c r="H28" s="102" t="s">
        <v>193</v>
      </c>
      <c r="I28" s="125"/>
      <c r="J28" s="125"/>
    </row>
    <row r="29" customFormat="false" ht="15.25" hidden="false" customHeight="false" outlineLevel="0" collapsed="false">
      <c r="A29" s="105" t="n">
        <v>53.02</v>
      </c>
      <c r="B29" s="105" t="n">
        <v>53.02</v>
      </c>
      <c r="C29" s="105" t="n">
        <v>53.02</v>
      </c>
      <c r="D29" s="105" t="n">
        <f aca="false">(A29+B29+C29)/3</f>
        <v>53.02</v>
      </c>
      <c r="E29" s="106" t="n">
        <v>0.25</v>
      </c>
      <c r="F29" s="126" t="n">
        <v>4</v>
      </c>
      <c r="G29" s="105" t="n">
        <f aca="false">(D29/F29)/12*5</f>
        <v>5.52291666666667</v>
      </c>
      <c r="H29" s="105" t="n">
        <f aca="false">G29/19</f>
        <v>0.290679824561403</v>
      </c>
      <c r="I29" s="125"/>
      <c r="J29" s="125"/>
    </row>
    <row r="30" customFormat="false" ht="14.05" hidden="false" customHeight="false" outlineLevel="0" collapsed="false">
      <c r="I30" s="125"/>
      <c r="J30" s="125"/>
    </row>
    <row r="31" customFormat="false" ht="15.25" hidden="false" customHeight="false" outlineLevel="0" collapsed="false">
      <c r="A31" s="100" t="s">
        <v>202</v>
      </c>
      <c r="B31" s="100"/>
      <c r="C31" s="100"/>
      <c r="D31" s="100"/>
      <c r="E31" s="100"/>
      <c r="F31" s="100"/>
      <c r="G31" s="100"/>
      <c r="H31" s="100"/>
      <c r="I31" s="125"/>
      <c r="J31" s="125"/>
    </row>
    <row r="32" customFormat="false" ht="15.25" hidden="false" customHeight="false" outlineLevel="0" collapsed="false">
      <c r="A32" s="102" t="s">
        <v>171</v>
      </c>
      <c r="B32" s="102" t="s">
        <v>172</v>
      </c>
      <c r="C32" s="102" t="s">
        <v>173</v>
      </c>
      <c r="D32" s="102" t="s">
        <v>174</v>
      </c>
      <c r="E32" s="102" t="s">
        <v>190</v>
      </c>
      <c r="F32" s="102" t="s">
        <v>191</v>
      </c>
      <c r="G32" s="102" t="s">
        <v>192</v>
      </c>
      <c r="H32" s="102" t="s">
        <v>192</v>
      </c>
      <c r="I32" s="125"/>
      <c r="J32" s="125"/>
    </row>
    <row r="33" customFormat="false" ht="15.25" hidden="false" customHeight="false" outlineLevel="0" collapsed="false">
      <c r="A33" s="105" t="n">
        <v>100</v>
      </c>
      <c r="B33" s="105" t="n">
        <v>80</v>
      </c>
      <c r="C33" s="105" t="n">
        <v>100</v>
      </c>
      <c r="D33" s="105" t="n">
        <f aca="false">(A33+B33+C33)/3</f>
        <v>93.3333333333333</v>
      </c>
      <c r="E33" s="106" t="n">
        <v>0.2</v>
      </c>
      <c r="F33" s="107" t="n">
        <v>5</v>
      </c>
      <c r="G33" s="105" t="n">
        <f aca="false">(D33/F33)/12*5</f>
        <v>7.77777777777778</v>
      </c>
      <c r="H33" s="105" t="n">
        <f aca="false">G33/18</f>
        <v>0.432098765432099</v>
      </c>
      <c r="I33" s="125"/>
      <c r="J33" s="125"/>
    </row>
    <row r="34" customFormat="false" ht="14.05" hidden="false" customHeight="false" outlineLevel="0" collapsed="false">
      <c r="I34" s="125"/>
      <c r="J34" s="125"/>
    </row>
    <row r="35" customFormat="false" ht="15.25" hidden="false" customHeight="false" outlineLevel="0" collapsed="false">
      <c r="A35" s="100" t="s">
        <v>203</v>
      </c>
      <c r="B35" s="100"/>
      <c r="C35" s="100"/>
      <c r="D35" s="100"/>
      <c r="E35" s="100"/>
      <c r="F35" s="100"/>
      <c r="G35" s="100"/>
      <c r="H35" s="100"/>
      <c r="I35" s="125"/>
      <c r="J35" s="125"/>
    </row>
    <row r="36" customFormat="false" ht="15.25" hidden="false" customHeight="false" outlineLevel="0" collapsed="false">
      <c r="A36" s="102" t="s">
        <v>171</v>
      </c>
      <c r="B36" s="102" t="s">
        <v>172</v>
      </c>
      <c r="C36" s="102" t="s">
        <v>173</v>
      </c>
      <c r="D36" s="102" t="s">
        <v>174</v>
      </c>
      <c r="E36" s="102" t="s">
        <v>190</v>
      </c>
      <c r="F36" s="102" t="s">
        <v>191</v>
      </c>
      <c r="G36" s="102" t="s">
        <v>192</v>
      </c>
      <c r="H36" s="102" t="s">
        <v>193</v>
      </c>
      <c r="I36" s="125"/>
      <c r="J36" s="125"/>
    </row>
    <row r="37" customFormat="false" ht="15.25" hidden="false" customHeight="false" outlineLevel="0" collapsed="false">
      <c r="A37" s="105" t="n">
        <v>1100</v>
      </c>
      <c r="B37" s="105" t="n">
        <v>900</v>
      </c>
      <c r="C37" s="105" t="n">
        <v>1200</v>
      </c>
      <c r="D37" s="105" t="n">
        <f aca="false">(A37+B37+C37)/3</f>
        <v>1066.66666666667</v>
      </c>
      <c r="E37" s="106" t="n">
        <v>0.2</v>
      </c>
      <c r="F37" s="107" t="n">
        <v>5</v>
      </c>
      <c r="G37" s="105" t="n">
        <f aca="false">(D37/F37)/12*5</f>
        <v>88.8888888888889</v>
      </c>
      <c r="H37" s="105" t="n">
        <f aca="false">G37/18</f>
        <v>4.93827160493827</v>
      </c>
      <c r="I37" s="125"/>
      <c r="J37" s="125"/>
    </row>
    <row r="38" customFormat="false" ht="14.05" hidden="false" customHeight="false" outlineLevel="0" collapsed="false">
      <c r="I38" s="125"/>
      <c r="J38" s="125"/>
    </row>
    <row r="39" customFormat="false" ht="15.25" hidden="false" customHeight="false" outlineLevel="0" collapsed="false">
      <c r="A39" s="100" t="s">
        <v>225</v>
      </c>
      <c r="B39" s="100"/>
      <c r="C39" s="100"/>
      <c r="D39" s="100"/>
      <c r="E39" s="100"/>
      <c r="F39" s="100"/>
      <c r="G39" s="100"/>
      <c r="H39" s="100"/>
      <c r="I39" s="125"/>
      <c r="J39" s="125"/>
    </row>
    <row r="40" customFormat="false" ht="15.25" hidden="false" customHeight="false" outlineLevel="0" collapsed="false">
      <c r="A40" s="102" t="s">
        <v>171</v>
      </c>
      <c r="B40" s="102" t="s">
        <v>172</v>
      </c>
      <c r="C40" s="102" t="s">
        <v>173</v>
      </c>
      <c r="D40" s="102" t="s">
        <v>174</v>
      </c>
      <c r="E40" s="102" t="s">
        <v>190</v>
      </c>
      <c r="F40" s="102" t="s">
        <v>191</v>
      </c>
      <c r="G40" s="102" t="s">
        <v>192</v>
      </c>
      <c r="H40" s="102" t="s">
        <v>193</v>
      </c>
      <c r="I40" s="125"/>
      <c r="J40" s="125"/>
    </row>
    <row r="41" customFormat="false" ht="15.25" hidden="false" customHeight="false" outlineLevel="0" collapsed="false">
      <c r="A41" s="105" t="n">
        <v>134.46</v>
      </c>
      <c r="B41" s="105" t="n">
        <v>109.81</v>
      </c>
      <c r="C41" s="105" t="n">
        <v>143.1</v>
      </c>
      <c r="D41" s="105" t="n">
        <f aca="false">(A41+B41+C41)/3</f>
        <v>129.123333333333</v>
      </c>
      <c r="E41" s="106" t="n">
        <v>0.2</v>
      </c>
      <c r="F41" s="107" t="n">
        <v>5</v>
      </c>
      <c r="G41" s="105" t="n">
        <f aca="false">(D41/F41)/12*5</f>
        <v>10.7602777777778</v>
      </c>
      <c r="H41" s="105" t="n">
        <f aca="false">G41/19</f>
        <v>0.566330409356725</v>
      </c>
      <c r="I41" s="125"/>
      <c r="J41" s="125"/>
    </row>
    <row r="42" customFormat="false" ht="15.25" hidden="false" customHeight="false" outlineLevel="0" collapsed="false">
      <c r="A42" s="105"/>
      <c r="B42" s="105"/>
      <c r="C42" s="105"/>
      <c r="D42" s="105"/>
      <c r="E42" s="106"/>
      <c r="F42" s="106"/>
      <c r="G42" s="105"/>
      <c r="H42" s="105"/>
      <c r="I42" s="125"/>
      <c r="J42" s="125"/>
    </row>
    <row r="43" customFormat="false" ht="15.25" hidden="false" customHeight="false" outlineLevel="0" collapsed="false">
      <c r="A43" s="100" t="s">
        <v>205</v>
      </c>
      <c r="B43" s="100"/>
      <c r="C43" s="100"/>
      <c r="D43" s="100"/>
      <c r="E43" s="100"/>
      <c r="F43" s="100"/>
      <c r="G43" s="100"/>
      <c r="H43" s="100"/>
      <c r="I43" s="125"/>
      <c r="J43" s="125"/>
    </row>
    <row r="44" customFormat="false" ht="15.25" hidden="false" customHeight="false" outlineLevel="0" collapsed="false">
      <c r="A44" s="102" t="s">
        <v>171</v>
      </c>
      <c r="B44" s="102" t="s">
        <v>172</v>
      </c>
      <c r="C44" s="102" t="s">
        <v>173</v>
      </c>
      <c r="D44" s="102" t="s">
        <v>174</v>
      </c>
      <c r="E44" s="102" t="s">
        <v>190</v>
      </c>
      <c r="F44" s="102" t="s">
        <v>191</v>
      </c>
      <c r="G44" s="102" t="s">
        <v>192</v>
      </c>
      <c r="H44" s="102" t="s">
        <v>193</v>
      </c>
      <c r="I44" s="125"/>
      <c r="J44" s="125"/>
    </row>
    <row r="45" customFormat="false" ht="15.25" hidden="false" customHeight="false" outlineLevel="0" collapsed="false">
      <c r="A45" s="105" t="n">
        <v>17</v>
      </c>
      <c r="B45" s="105" t="n">
        <v>17</v>
      </c>
      <c r="C45" s="105" t="n">
        <v>17</v>
      </c>
      <c r="D45" s="105" t="n">
        <f aca="false">(A45+B45+C45)/3</f>
        <v>17</v>
      </c>
      <c r="E45" s="106" t="n">
        <v>0.2</v>
      </c>
      <c r="F45" s="107" t="n">
        <v>5</v>
      </c>
      <c r="G45" s="105" t="n">
        <f aca="false">(D45/F45)/12*3</f>
        <v>0.85</v>
      </c>
      <c r="H45" s="105" t="n">
        <f aca="false">G45/19</f>
        <v>0.0447368421052632</v>
      </c>
      <c r="I45" s="125"/>
      <c r="J45" s="125"/>
    </row>
    <row r="46" customFormat="false" ht="15.25" hidden="false" customHeight="false" outlineLevel="0" collapsed="false">
      <c r="A46" s="105"/>
      <c r="B46" s="105"/>
      <c r="C46" s="105"/>
      <c r="D46" s="105"/>
      <c r="E46" s="106"/>
      <c r="F46" s="106"/>
      <c r="G46" s="105"/>
      <c r="H46" s="105"/>
      <c r="I46" s="125"/>
      <c r="J46" s="125"/>
    </row>
    <row r="47" customFormat="false" ht="15.25" hidden="false" customHeight="false" outlineLevel="0" collapsed="false">
      <c r="A47" s="100" t="s">
        <v>206</v>
      </c>
      <c r="B47" s="100"/>
      <c r="C47" s="100"/>
      <c r="D47" s="100"/>
      <c r="E47" s="100"/>
      <c r="F47" s="100"/>
      <c r="G47" s="100"/>
      <c r="H47" s="100"/>
      <c r="I47" s="125"/>
      <c r="J47" s="125"/>
    </row>
    <row r="48" customFormat="false" ht="15.25" hidden="false" customHeight="false" outlineLevel="0" collapsed="false">
      <c r="A48" s="102" t="s">
        <v>171</v>
      </c>
      <c r="B48" s="102" t="s">
        <v>172</v>
      </c>
      <c r="C48" s="102" t="s">
        <v>173</v>
      </c>
      <c r="D48" s="102" t="s">
        <v>174</v>
      </c>
      <c r="E48" s="102" t="s">
        <v>190</v>
      </c>
      <c r="F48" s="102" t="s">
        <v>191</v>
      </c>
      <c r="G48" s="102" t="s">
        <v>192</v>
      </c>
      <c r="H48" s="102" t="s">
        <v>193</v>
      </c>
      <c r="I48" s="125"/>
      <c r="J48" s="125"/>
    </row>
    <row r="49" customFormat="false" ht="15.25" hidden="false" customHeight="false" outlineLevel="0" collapsed="false">
      <c r="A49" s="105" t="n">
        <v>6</v>
      </c>
      <c r="B49" s="105" t="n">
        <v>6</v>
      </c>
      <c r="C49" s="105" t="n">
        <v>6</v>
      </c>
      <c r="D49" s="105" t="n">
        <f aca="false">(A49+B49+C49)/3</f>
        <v>6</v>
      </c>
      <c r="E49" s="106" t="n">
        <v>1</v>
      </c>
      <c r="F49" s="107" t="n">
        <v>1</v>
      </c>
      <c r="G49" s="105" t="n">
        <f aca="false">(D49/F49)/12*57</f>
        <v>28.5</v>
      </c>
      <c r="H49" s="105" t="n">
        <f aca="false">G49/19</f>
        <v>1.5</v>
      </c>
      <c r="I49" s="125"/>
      <c r="J49" s="125"/>
    </row>
    <row r="50" customFormat="false" ht="15.25" hidden="false" customHeight="false" outlineLevel="0" collapsed="false">
      <c r="A50" s="105"/>
      <c r="B50" s="105"/>
      <c r="C50" s="105"/>
      <c r="D50" s="105"/>
      <c r="E50" s="106"/>
      <c r="F50" s="106"/>
      <c r="G50" s="105"/>
      <c r="H50" s="105"/>
      <c r="I50" s="125"/>
      <c r="J50" s="125"/>
    </row>
    <row r="51" customFormat="false" ht="15.25" hidden="false" customHeight="false" outlineLevel="0" collapsed="false">
      <c r="A51" s="100" t="s">
        <v>211</v>
      </c>
      <c r="B51" s="100"/>
      <c r="C51" s="100"/>
      <c r="D51" s="100"/>
      <c r="E51" s="100"/>
      <c r="F51" s="100"/>
      <c r="G51" s="100"/>
      <c r="H51" s="100"/>
      <c r="I51" s="125"/>
      <c r="J51" s="125"/>
    </row>
    <row r="52" customFormat="false" ht="15.25" hidden="false" customHeight="false" outlineLevel="0" collapsed="false">
      <c r="A52" s="102" t="s">
        <v>171</v>
      </c>
      <c r="B52" s="102" t="s">
        <v>172</v>
      </c>
      <c r="C52" s="102" t="s">
        <v>173</v>
      </c>
      <c r="D52" s="102" t="s">
        <v>174</v>
      </c>
      <c r="E52" s="102" t="s">
        <v>190</v>
      </c>
      <c r="F52" s="102" t="s">
        <v>191</v>
      </c>
      <c r="G52" s="102" t="s">
        <v>192</v>
      </c>
      <c r="H52" s="102" t="s">
        <v>193</v>
      </c>
      <c r="I52" s="125"/>
      <c r="J52" s="125"/>
    </row>
    <row r="53" customFormat="false" ht="15.25" hidden="false" customHeight="false" outlineLevel="0" collapsed="false">
      <c r="A53" s="105" t="n">
        <v>170.1</v>
      </c>
      <c r="B53" s="105" t="n">
        <v>140.7</v>
      </c>
      <c r="C53" s="105" t="n">
        <v>161.9</v>
      </c>
      <c r="D53" s="105" t="n">
        <f aca="false">(A53+B53+C53)/3</f>
        <v>157.566666666667</v>
      </c>
      <c r="E53" s="106" t="n">
        <v>1</v>
      </c>
      <c r="F53" s="107" t="n">
        <v>1</v>
      </c>
      <c r="G53" s="105" t="n">
        <f aca="false">(D53/F53)/12*30</f>
        <v>393.916666666667</v>
      </c>
      <c r="H53" s="105" t="n">
        <f aca="false">G53/10</f>
        <v>39.3916666666667</v>
      </c>
      <c r="I53" s="125"/>
      <c r="J53" s="125"/>
    </row>
    <row r="54" customFormat="false" ht="15.25" hidden="false" customHeight="false" outlineLevel="0" collapsed="false">
      <c r="A54" s="105"/>
      <c r="B54" s="105"/>
      <c r="C54" s="105"/>
      <c r="D54" s="105"/>
      <c r="E54" s="106"/>
      <c r="F54" s="106"/>
      <c r="G54" s="105"/>
      <c r="H54" s="105"/>
      <c r="I54" s="125"/>
      <c r="J54" s="125"/>
    </row>
    <row r="55" customFormat="false" ht="15.25" hidden="false" customHeight="false" outlineLevel="0" collapsed="false">
      <c r="A55" s="100" t="s">
        <v>207</v>
      </c>
      <c r="B55" s="100"/>
      <c r="C55" s="100"/>
      <c r="D55" s="100"/>
      <c r="E55" s="100"/>
      <c r="F55" s="100"/>
      <c r="G55" s="100"/>
      <c r="H55" s="100"/>
      <c r="I55" s="125"/>
      <c r="J55" s="125"/>
    </row>
    <row r="56" customFormat="false" ht="15.25" hidden="false" customHeight="false" outlineLevel="0" collapsed="false">
      <c r="A56" s="102" t="s">
        <v>171</v>
      </c>
      <c r="B56" s="102" t="s">
        <v>172</v>
      </c>
      <c r="C56" s="102" t="s">
        <v>173</v>
      </c>
      <c r="D56" s="102" t="s">
        <v>174</v>
      </c>
      <c r="E56" s="102" t="s">
        <v>190</v>
      </c>
      <c r="F56" s="102" t="s">
        <v>191</v>
      </c>
      <c r="G56" s="102" t="s">
        <v>192</v>
      </c>
      <c r="H56" s="102" t="s">
        <v>193</v>
      </c>
      <c r="I56" s="125"/>
      <c r="J56" s="125"/>
    </row>
    <row r="57" customFormat="false" ht="15.25" hidden="false" customHeight="false" outlineLevel="0" collapsed="false">
      <c r="A57" s="105" t="n">
        <v>80</v>
      </c>
      <c r="B57" s="105" t="n">
        <v>80</v>
      </c>
      <c r="C57" s="105" t="n">
        <v>75</v>
      </c>
      <c r="D57" s="105" t="n">
        <f aca="false">(A57+B57+C57)/3</f>
        <v>78.3333333333333</v>
      </c>
      <c r="E57" s="106" t="n">
        <v>1</v>
      </c>
      <c r="F57" s="107" t="n">
        <v>1</v>
      </c>
      <c r="G57" s="105" t="n">
        <f aca="false">(D57/F57)/12*60</f>
        <v>391.666666666667</v>
      </c>
      <c r="H57" s="105" t="n">
        <f aca="false">G57/10</f>
        <v>39.1666666666667</v>
      </c>
      <c r="I57" s="125"/>
      <c r="J57" s="125"/>
    </row>
    <row r="58" customFormat="false" ht="15.25" hidden="false" customHeight="false" outlineLevel="0" collapsed="false">
      <c r="A58" s="105"/>
      <c r="B58" s="105"/>
      <c r="C58" s="105"/>
      <c r="D58" s="105"/>
      <c r="E58" s="106"/>
      <c r="F58" s="106"/>
      <c r="G58" s="105"/>
      <c r="H58" s="105"/>
      <c r="I58" s="125"/>
      <c r="J58" s="125"/>
    </row>
    <row r="59" customFormat="false" ht="15.25" hidden="false" customHeight="false" outlineLevel="0" collapsed="false">
      <c r="A59" s="100" t="s">
        <v>208</v>
      </c>
      <c r="B59" s="100"/>
      <c r="C59" s="100"/>
      <c r="D59" s="100"/>
      <c r="E59" s="100"/>
      <c r="F59" s="100"/>
      <c r="G59" s="100"/>
      <c r="H59" s="100"/>
      <c r="I59" s="125"/>
      <c r="J59" s="125"/>
    </row>
    <row r="60" customFormat="false" ht="15.25" hidden="false" customHeight="false" outlineLevel="0" collapsed="false">
      <c r="A60" s="102" t="s">
        <v>171</v>
      </c>
      <c r="B60" s="102" t="s">
        <v>172</v>
      </c>
      <c r="C60" s="102" t="s">
        <v>173</v>
      </c>
      <c r="D60" s="102" t="s">
        <v>174</v>
      </c>
      <c r="E60" s="102" t="s">
        <v>190</v>
      </c>
      <c r="F60" s="102" t="s">
        <v>191</v>
      </c>
      <c r="G60" s="102" t="s">
        <v>192</v>
      </c>
      <c r="H60" s="102" t="s">
        <v>193</v>
      </c>
      <c r="I60" s="125"/>
      <c r="J60" s="125"/>
    </row>
    <row r="61" customFormat="false" ht="15.25" hidden="false" customHeight="false" outlineLevel="0" collapsed="false">
      <c r="A61" s="105" t="n">
        <v>15</v>
      </c>
      <c r="B61" s="105" t="n">
        <v>15</v>
      </c>
      <c r="C61" s="105" t="n">
        <v>15</v>
      </c>
      <c r="D61" s="105" t="n">
        <f aca="false">(A61+B61+C61)/3</f>
        <v>15</v>
      </c>
      <c r="E61" s="106" t="n">
        <v>1</v>
      </c>
      <c r="F61" s="107" t="n">
        <v>1</v>
      </c>
      <c r="G61" s="105" t="n">
        <f aca="false">(D61/F61)/12*114</f>
        <v>142.5</v>
      </c>
      <c r="H61" s="105" t="n">
        <f aca="false">G61/19</f>
        <v>7.5</v>
      </c>
      <c r="I61" s="125"/>
      <c r="J61" s="125"/>
    </row>
    <row r="62" customFormat="false" ht="15.25" hidden="false" customHeight="false" outlineLevel="0" collapsed="false">
      <c r="A62" s="105"/>
      <c r="B62" s="105"/>
      <c r="C62" s="105"/>
      <c r="D62" s="105"/>
      <c r="E62" s="106"/>
      <c r="F62" s="106"/>
      <c r="G62" s="105"/>
      <c r="H62" s="105"/>
      <c r="I62" s="125"/>
      <c r="J62" s="125"/>
    </row>
    <row r="63" customFormat="false" ht="15.25" hidden="false" customHeight="false" outlineLevel="0" collapsed="false">
      <c r="A63" s="100" t="s">
        <v>210</v>
      </c>
      <c r="B63" s="100"/>
      <c r="C63" s="100"/>
      <c r="D63" s="100"/>
      <c r="E63" s="100"/>
      <c r="F63" s="100"/>
      <c r="G63" s="100"/>
      <c r="H63" s="100"/>
      <c r="I63" s="125"/>
      <c r="J63" s="125"/>
    </row>
    <row r="64" customFormat="false" ht="15.25" hidden="false" customHeight="false" outlineLevel="0" collapsed="false">
      <c r="A64" s="102" t="s">
        <v>171</v>
      </c>
      <c r="B64" s="102" t="s">
        <v>172</v>
      </c>
      <c r="C64" s="102" t="s">
        <v>173</v>
      </c>
      <c r="D64" s="102" t="s">
        <v>174</v>
      </c>
      <c r="E64" s="102" t="s">
        <v>190</v>
      </c>
      <c r="F64" s="102" t="s">
        <v>191</v>
      </c>
      <c r="G64" s="102" t="s">
        <v>192</v>
      </c>
      <c r="H64" s="102" t="s">
        <v>193</v>
      </c>
      <c r="I64" s="125"/>
      <c r="J64" s="125"/>
    </row>
    <row r="65" customFormat="false" ht="15.25" hidden="false" customHeight="false" outlineLevel="0" collapsed="false">
      <c r="A65" s="105" t="n">
        <v>10</v>
      </c>
      <c r="B65" s="105" t="n">
        <v>10</v>
      </c>
      <c r="C65" s="105" t="n">
        <v>10</v>
      </c>
      <c r="D65" s="105" t="n">
        <f aca="false">(A65+B65+C65)/3</f>
        <v>10</v>
      </c>
      <c r="E65" s="106" t="n">
        <v>1</v>
      </c>
      <c r="F65" s="107" t="n">
        <v>1</v>
      </c>
      <c r="G65" s="105" t="n">
        <f aca="false">(D65/F65)/12*57</f>
        <v>47.5</v>
      </c>
      <c r="H65" s="105" t="n">
        <f aca="false">G65/19</f>
        <v>2.5</v>
      </c>
      <c r="I65" s="125"/>
      <c r="J65" s="125"/>
    </row>
    <row r="66" customFormat="false" ht="15.25" hidden="false" customHeight="false" outlineLevel="0" collapsed="false">
      <c r="A66" s="105"/>
      <c r="B66" s="105"/>
      <c r="C66" s="105"/>
      <c r="D66" s="105"/>
      <c r="E66" s="106"/>
      <c r="F66" s="106"/>
      <c r="G66" s="105"/>
      <c r="H66" s="105"/>
      <c r="I66" s="125"/>
      <c r="J66" s="125"/>
    </row>
    <row r="67" customFormat="false" ht="15.25" hidden="false" customHeight="false" outlineLevel="0" collapsed="false">
      <c r="A67" s="100" t="s">
        <v>212</v>
      </c>
      <c r="B67" s="100"/>
      <c r="C67" s="100"/>
      <c r="D67" s="100"/>
      <c r="E67" s="100"/>
      <c r="F67" s="100"/>
      <c r="G67" s="100"/>
      <c r="H67" s="100"/>
      <c r="I67" s="125"/>
      <c r="J67" s="125"/>
    </row>
    <row r="68" customFormat="false" ht="15.25" hidden="false" customHeight="false" outlineLevel="0" collapsed="false">
      <c r="A68" s="102" t="s">
        <v>171</v>
      </c>
      <c r="B68" s="102" t="s">
        <v>172</v>
      </c>
      <c r="C68" s="102" t="s">
        <v>173</v>
      </c>
      <c r="D68" s="102" t="s">
        <v>174</v>
      </c>
      <c r="E68" s="102" t="s">
        <v>190</v>
      </c>
      <c r="F68" s="102" t="s">
        <v>191</v>
      </c>
      <c r="G68" s="102" t="s">
        <v>192</v>
      </c>
      <c r="H68" s="102" t="s">
        <v>193</v>
      </c>
      <c r="I68" s="125"/>
      <c r="J68" s="125"/>
    </row>
    <row r="69" customFormat="false" ht="15.25" hidden="false" customHeight="false" outlineLevel="0" collapsed="false">
      <c r="A69" s="105" t="n">
        <v>25</v>
      </c>
      <c r="B69" s="105" t="n">
        <v>25</v>
      </c>
      <c r="C69" s="105" t="n">
        <v>25</v>
      </c>
      <c r="D69" s="105" t="n">
        <f aca="false">(A69+B69+C69)/3</f>
        <v>25</v>
      </c>
      <c r="E69" s="106" t="n">
        <v>1</v>
      </c>
      <c r="F69" s="107" t="n">
        <v>1</v>
      </c>
      <c r="G69" s="105" t="n">
        <f aca="false">(D69/F69)/12*57</f>
        <v>118.75</v>
      </c>
      <c r="H69" s="105" t="n">
        <f aca="false">G69/19</f>
        <v>6.25</v>
      </c>
      <c r="I69" s="125"/>
      <c r="J69" s="125"/>
    </row>
    <row r="70" customFormat="false" ht="15.25" hidden="false" customHeight="false" outlineLevel="0" collapsed="false">
      <c r="A70" s="105"/>
      <c r="B70" s="105"/>
      <c r="C70" s="105"/>
      <c r="D70" s="105"/>
      <c r="E70" s="106"/>
      <c r="F70" s="106"/>
      <c r="G70" s="105"/>
      <c r="H70" s="105"/>
      <c r="I70" s="125"/>
      <c r="J70" s="125"/>
    </row>
    <row r="71" customFormat="false" ht="15.25" hidden="false" customHeight="false" outlineLevel="0" collapsed="false">
      <c r="A71" s="100" t="s">
        <v>213</v>
      </c>
      <c r="B71" s="100"/>
      <c r="C71" s="100"/>
      <c r="D71" s="100"/>
      <c r="E71" s="100"/>
      <c r="F71" s="100"/>
      <c r="G71" s="100"/>
      <c r="H71" s="100"/>
      <c r="I71" s="125"/>
      <c r="J71" s="125"/>
    </row>
    <row r="72" customFormat="false" ht="15.25" hidden="false" customHeight="false" outlineLevel="0" collapsed="false">
      <c r="A72" s="102" t="s">
        <v>171</v>
      </c>
      <c r="B72" s="102" t="s">
        <v>172</v>
      </c>
      <c r="C72" s="102" t="s">
        <v>173</v>
      </c>
      <c r="D72" s="102" t="s">
        <v>174</v>
      </c>
      <c r="E72" s="102" t="s">
        <v>190</v>
      </c>
      <c r="F72" s="102" t="s">
        <v>191</v>
      </c>
      <c r="G72" s="102" t="s">
        <v>192</v>
      </c>
      <c r="H72" s="102" t="s">
        <v>193</v>
      </c>
      <c r="I72" s="125"/>
      <c r="J72" s="125"/>
    </row>
    <row r="73" customFormat="false" ht="15.25" hidden="false" customHeight="false" outlineLevel="0" collapsed="false">
      <c r="A73" s="105" t="n">
        <v>50</v>
      </c>
      <c r="B73" s="105" t="n">
        <v>35</v>
      </c>
      <c r="C73" s="105" t="n">
        <v>45</v>
      </c>
      <c r="D73" s="105" t="n">
        <f aca="false">(A73+B73+C73)/3</f>
        <v>43.3333333333333</v>
      </c>
      <c r="E73" s="106" t="n">
        <v>1</v>
      </c>
      <c r="F73" s="107" t="n">
        <v>1</v>
      </c>
      <c r="G73" s="105" t="n">
        <f aca="false">(D73/F73)/12*57</f>
        <v>205.833333333333</v>
      </c>
      <c r="H73" s="105" t="n">
        <f aca="false">G73/19</f>
        <v>10.8333333333333</v>
      </c>
      <c r="I73" s="125"/>
      <c r="J73" s="125"/>
    </row>
    <row r="74" customFormat="false" ht="15.25" hidden="false" customHeight="false" outlineLevel="0" collapsed="false">
      <c r="A74" s="105"/>
      <c r="B74" s="105"/>
      <c r="C74" s="105"/>
      <c r="D74" s="105"/>
      <c r="E74" s="106"/>
      <c r="F74" s="106"/>
      <c r="G74" s="105"/>
      <c r="H74" s="105"/>
      <c r="I74" s="125"/>
      <c r="J74" s="125"/>
    </row>
    <row r="75" customFormat="false" ht="15.25" hidden="false" customHeight="false" outlineLevel="0" collapsed="false">
      <c r="A75" s="100" t="s">
        <v>214</v>
      </c>
      <c r="B75" s="100"/>
      <c r="C75" s="100"/>
      <c r="D75" s="100"/>
      <c r="E75" s="100"/>
      <c r="F75" s="100"/>
      <c r="G75" s="100"/>
      <c r="H75" s="100"/>
      <c r="I75" s="125"/>
      <c r="J75" s="125"/>
    </row>
    <row r="76" customFormat="false" ht="15.25" hidden="false" customHeight="false" outlineLevel="0" collapsed="false">
      <c r="A76" s="102" t="s">
        <v>171</v>
      </c>
      <c r="B76" s="102" t="s">
        <v>172</v>
      </c>
      <c r="C76" s="102" t="s">
        <v>173</v>
      </c>
      <c r="D76" s="102" t="s">
        <v>174</v>
      </c>
      <c r="E76" s="102" t="s">
        <v>190</v>
      </c>
      <c r="F76" s="102" t="s">
        <v>191</v>
      </c>
      <c r="G76" s="102" t="s">
        <v>192</v>
      </c>
      <c r="H76" s="102" t="s">
        <v>193</v>
      </c>
      <c r="I76" s="125"/>
      <c r="J76" s="125"/>
    </row>
    <row r="77" customFormat="false" ht="15.25" hidden="false" customHeight="false" outlineLevel="0" collapsed="false">
      <c r="A77" s="105" t="n">
        <v>160</v>
      </c>
      <c r="B77" s="105" t="n">
        <v>250</v>
      </c>
      <c r="C77" s="105" t="n">
        <v>190</v>
      </c>
      <c r="D77" s="105" t="n">
        <f aca="false">(A77+B77+C77)/3</f>
        <v>200</v>
      </c>
      <c r="E77" s="106" t="n">
        <v>1</v>
      </c>
      <c r="F77" s="107" t="n">
        <v>1</v>
      </c>
      <c r="G77" s="105" t="n">
        <f aca="false">(D77/F77)/12*30</f>
        <v>500</v>
      </c>
      <c r="H77" s="105" t="n">
        <f aca="false">G77/10</f>
        <v>50</v>
      </c>
      <c r="I77" s="125"/>
      <c r="J77" s="125"/>
    </row>
    <row r="78" customFormat="false" ht="15.25" hidden="false" customHeight="false" outlineLevel="0" collapsed="false">
      <c r="A78" s="105"/>
      <c r="B78" s="105"/>
      <c r="C78" s="105"/>
      <c r="D78" s="105"/>
      <c r="E78" s="106"/>
      <c r="F78" s="106"/>
      <c r="G78" s="105"/>
      <c r="H78" s="105"/>
      <c r="I78" s="125"/>
      <c r="J78" s="125"/>
    </row>
    <row r="79" customFormat="false" ht="15.25" hidden="false" customHeight="false" outlineLevel="0" collapsed="false">
      <c r="A79" s="100" t="s">
        <v>215</v>
      </c>
      <c r="B79" s="100"/>
      <c r="C79" s="100"/>
      <c r="D79" s="100"/>
      <c r="E79" s="100"/>
      <c r="F79" s="100"/>
      <c r="G79" s="100"/>
      <c r="H79" s="100"/>
      <c r="I79" s="125"/>
      <c r="J79" s="125"/>
    </row>
    <row r="80" customFormat="false" ht="15.25" hidden="false" customHeight="false" outlineLevel="0" collapsed="false">
      <c r="A80" s="102" t="s">
        <v>171</v>
      </c>
      <c r="B80" s="102" t="s">
        <v>172</v>
      </c>
      <c r="C80" s="102" t="s">
        <v>173</v>
      </c>
      <c r="D80" s="102" t="s">
        <v>174</v>
      </c>
      <c r="E80" s="102" t="s">
        <v>190</v>
      </c>
      <c r="F80" s="102" t="s">
        <v>191</v>
      </c>
      <c r="G80" s="102" t="s">
        <v>192</v>
      </c>
      <c r="H80" s="102" t="s">
        <v>193</v>
      </c>
      <c r="I80" s="125"/>
      <c r="J80" s="125"/>
    </row>
    <row r="81" customFormat="false" ht="15.25" hidden="false" customHeight="false" outlineLevel="0" collapsed="false">
      <c r="A81" s="105" t="n">
        <v>3</v>
      </c>
      <c r="B81" s="105" t="n">
        <v>3</v>
      </c>
      <c r="C81" s="105" t="n">
        <v>3</v>
      </c>
      <c r="D81" s="105" t="n">
        <f aca="false">(A81+B81+C81)/3</f>
        <v>3</v>
      </c>
      <c r="E81" s="106" t="n">
        <v>1</v>
      </c>
      <c r="F81" s="107" t="n">
        <v>1</v>
      </c>
      <c r="G81" s="105" t="n">
        <f aca="false">(D81/12)*114</f>
        <v>28.5</v>
      </c>
      <c r="H81" s="105" t="n">
        <f aca="false">G81/19</f>
        <v>1.5</v>
      </c>
      <c r="I81" s="125"/>
      <c r="J81" s="125"/>
    </row>
    <row r="82" customFormat="false" ht="15.25" hidden="false" customHeight="false" outlineLevel="0" collapsed="false">
      <c r="A82" s="105"/>
      <c r="B82" s="105"/>
      <c r="C82" s="105"/>
      <c r="D82" s="105"/>
      <c r="E82" s="106"/>
      <c r="F82" s="106"/>
      <c r="G82" s="105"/>
      <c r="H82" s="105"/>
      <c r="I82" s="125"/>
      <c r="J82" s="125"/>
    </row>
    <row r="83" customFormat="false" ht="15.25" hidden="false" customHeight="false" outlineLevel="0" collapsed="false">
      <c r="A83" s="100" t="s">
        <v>209</v>
      </c>
      <c r="B83" s="100"/>
      <c r="C83" s="100"/>
      <c r="D83" s="100"/>
      <c r="E83" s="100"/>
      <c r="F83" s="100"/>
      <c r="G83" s="100"/>
      <c r="H83" s="100"/>
      <c r="I83" s="125"/>
      <c r="J83" s="125"/>
    </row>
    <row r="84" customFormat="false" ht="15.25" hidden="false" customHeight="false" outlineLevel="0" collapsed="false">
      <c r="A84" s="102" t="s">
        <v>171</v>
      </c>
      <c r="B84" s="102" t="s">
        <v>172</v>
      </c>
      <c r="C84" s="102" t="s">
        <v>173</v>
      </c>
      <c r="D84" s="102" t="s">
        <v>174</v>
      </c>
      <c r="E84" s="102" t="s">
        <v>190</v>
      </c>
      <c r="F84" s="102" t="s">
        <v>191</v>
      </c>
      <c r="G84" s="102" t="s">
        <v>192</v>
      </c>
      <c r="H84" s="102" t="s">
        <v>193</v>
      </c>
      <c r="I84" s="125"/>
      <c r="J84" s="125"/>
    </row>
    <row r="85" customFormat="false" ht="15.25" hidden="false" customHeight="false" outlineLevel="0" collapsed="false">
      <c r="A85" s="105" t="n">
        <v>32.4</v>
      </c>
      <c r="B85" s="105" t="n">
        <v>28.45</v>
      </c>
      <c r="C85" s="105" t="n">
        <v>39.06</v>
      </c>
      <c r="D85" s="105" t="n">
        <f aca="false">(A85+B85+C85)/3</f>
        <v>33.3033333333333</v>
      </c>
      <c r="E85" s="106" t="n">
        <v>1</v>
      </c>
      <c r="F85" s="107" t="n">
        <v>1</v>
      </c>
      <c r="G85" s="105" t="n">
        <f aca="false">(D85/E85)/12*30</f>
        <v>83.2583333333333</v>
      </c>
      <c r="H85" s="105" t="n">
        <f aca="false">G85/10</f>
        <v>8.32583333333333</v>
      </c>
      <c r="I85" s="125"/>
      <c r="J85" s="125"/>
    </row>
    <row r="86" customFormat="false" ht="15.25" hidden="false" customHeight="false" outlineLevel="0" collapsed="false">
      <c r="A86" s="100" t="s">
        <v>216</v>
      </c>
      <c r="B86" s="100"/>
      <c r="C86" s="100"/>
      <c r="D86" s="100"/>
      <c r="E86" s="100"/>
      <c r="F86" s="100"/>
      <c r="G86" s="100"/>
      <c r="H86" s="100"/>
      <c r="I86" s="125"/>
      <c r="J86" s="125"/>
    </row>
    <row r="87" customFormat="false" ht="15.25" hidden="false" customHeight="false" outlineLevel="0" collapsed="false">
      <c r="A87" s="102" t="s">
        <v>171</v>
      </c>
      <c r="B87" s="102" t="s">
        <v>172</v>
      </c>
      <c r="C87" s="102" t="s">
        <v>173</v>
      </c>
      <c r="D87" s="102" t="s">
        <v>174</v>
      </c>
      <c r="E87" s="102" t="s">
        <v>190</v>
      </c>
      <c r="F87" s="103" t="s">
        <v>191</v>
      </c>
      <c r="G87" s="102" t="s">
        <v>192</v>
      </c>
      <c r="H87" s="102" t="s">
        <v>193</v>
      </c>
      <c r="I87" s="125"/>
      <c r="J87" s="125"/>
    </row>
    <row r="88" customFormat="false" ht="15.25" hidden="false" customHeight="false" outlineLevel="0" collapsed="false">
      <c r="A88" s="105" t="n">
        <v>20</v>
      </c>
      <c r="B88" s="105" t="n">
        <v>20</v>
      </c>
      <c r="C88" s="105" t="n">
        <v>22</v>
      </c>
      <c r="D88" s="105" t="n">
        <f aca="false">(A88+B88+C88)/3</f>
        <v>20.6666666666667</v>
      </c>
      <c r="E88" s="106" t="n">
        <v>1</v>
      </c>
      <c r="F88" s="107" t="n">
        <v>1</v>
      </c>
      <c r="G88" s="105" t="n">
        <f aca="false">(D88/F88)/12*30</f>
        <v>51.6666666666667</v>
      </c>
      <c r="H88" s="105" t="n">
        <f aca="false">G88/10</f>
        <v>5.16666666666667</v>
      </c>
      <c r="I88" s="125"/>
      <c r="J88" s="125"/>
    </row>
    <row r="89" customFormat="false" ht="15.25" hidden="false" customHeight="false" outlineLevel="0" collapsed="false">
      <c r="A89" s="105"/>
      <c r="B89" s="105"/>
      <c r="C89" s="105"/>
      <c r="D89" s="105"/>
      <c r="E89" s="106"/>
      <c r="F89" s="106"/>
      <c r="G89" s="105"/>
      <c r="H89" s="105"/>
      <c r="I89" s="125"/>
      <c r="J89" s="125"/>
    </row>
    <row r="90" customFormat="false" ht="15.25" hidden="false" customHeight="false" outlineLevel="0" collapsed="false">
      <c r="A90" s="127" t="s">
        <v>254</v>
      </c>
      <c r="B90" s="127"/>
      <c r="C90" s="127"/>
      <c r="D90" s="127"/>
      <c r="E90" s="127"/>
      <c r="F90" s="127"/>
      <c r="G90" s="114" t="n">
        <f aca="false">(G5+G9+G13+G17+G21+G25+G29+G33+G37+G41+G45+G49+G53+G57+G61+G65+G69+G73+G77+G81+G85+G88)</f>
        <v>2247.50561111111</v>
      </c>
      <c r="H90" s="114" t="n">
        <f aca="false">(H5+H9+H13+H17+H21+H25+H29+H33+H37+H41+H45+H49+H53+H57+H61+H65+H69+H73+H77+H81+H85+H88)</f>
        <v>186.24393648473</v>
      </c>
      <c r="I90" s="125"/>
      <c r="J90" s="125"/>
    </row>
    <row r="91" customFormat="false" ht="15.25" hidden="false" customHeight="false" outlineLevel="0" collapsed="false">
      <c r="A91" s="134"/>
      <c r="B91" s="135"/>
      <c r="C91" s="135"/>
      <c r="D91" s="135"/>
      <c r="E91" s="135"/>
      <c r="F91" s="135"/>
      <c r="G91" s="136"/>
      <c r="H91" s="136"/>
      <c r="I91" s="125"/>
      <c r="J91" s="125"/>
    </row>
    <row r="93" customFormat="false" ht="15.25" hidden="false" customHeight="false" outlineLevel="0" collapsed="false">
      <c r="A93" s="118" t="s">
        <v>255</v>
      </c>
      <c r="B93" s="118"/>
      <c r="C93" s="118"/>
      <c r="D93" s="118"/>
      <c r="E93" s="118"/>
      <c r="F93" s="118"/>
      <c r="G93" s="119" t="n">
        <f aca="false">(G5+G9+G13+G17+G21+G25+G29+G33+G37+G41+G45)</f>
        <v>255.413944444444</v>
      </c>
      <c r="H93" s="119" t="n">
        <f aca="false">(H5+H9+H13+H17+H21+H25+H29+H33+H37+H41+H45)</f>
        <v>14.1097698180637</v>
      </c>
    </row>
    <row r="95" customFormat="false" ht="15.25" hidden="false" customHeight="false" outlineLevel="0" collapsed="false">
      <c r="A95" s="120" t="s">
        <v>256</v>
      </c>
      <c r="B95" s="120"/>
      <c r="C95" s="120"/>
      <c r="D95" s="120"/>
      <c r="E95" s="120"/>
      <c r="F95" s="120"/>
      <c r="G95" s="121" t="n">
        <f aca="false">(G49+G53+G57+G61+G65+G69+G73+G77+G81+G85+G88)</f>
        <v>1992.09166666667</v>
      </c>
      <c r="H95" s="121" t="n">
        <f aca="false">(H49+H53+H57+H61+H65+H69+H73+H77+H81+H85+H88)</f>
        <v>172.134166666667</v>
      </c>
    </row>
    <row r="97" customFormat="false" ht="15.25" hidden="false" customHeight="false" outlineLevel="0" collapsed="false">
      <c r="A97" s="122" t="s">
        <v>257</v>
      </c>
      <c r="B97" s="122"/>
      <c r="C97" s="122"/>
      <c r="D97" s="122"/>
      <c r="E97" s="122"/>
      <c r="F97" s="122"/>
      <c r="G97" s="123" t="n">
        <v>4500</v>
      </c>
      <c r="H97" s="123" t="n">
        <f aca="false">G97/28</f>
        <v>160.714285714286</v>
      </c>
    </row>
    <row r="99" customFormat="false" ht="13.9" hidden="false" customHeight="true" outlineLevel="0" collapsed="false">
      <c r="A99" s="124" t="s">
        <v>258</v>
      </c>
      <c r="B99" s="124"/>
      <c r="C99" s="124"/>
      <c r="D99" s="124"/>
      <c r="E99" s="124"/>
      <c r="F99" s="124"/>
      <c r="G99" s="124"/>
      <c r="H99" s="124"/>
    </row>
    <row r="100" customFormat="false" ht="19.35" hidden="false" customHeight="true" outlineLevel="0" collapsed="false"/>
  </sheetData>
  <mergeCells count="29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H59"/>
    <mergeCell ref="A63:H63"/>
    <mergeCell ref="A67:H67"/>
    <mergeCell ref="A71:H71"/>
    <mergeCell ref="A75:H75"/>
    <mergeCell ref="A79:H79"/>
    <mergeCell ref="A83:H83"/>
    <mergeCell ref="A86:H86"/>
    <mergeCell ref="A90:F90"/>
    <mergeCell ref="A93:F93"/>
    <mergeCell ref="A95:F95"/>
    <mergeCell ref="A97:F97"/>
    <mergeCell ref="A99:H10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05"/>
  <sheetViews>
    <sheetView windowProtection="false" showFormulas="false" showGridLines="true" showRowColHeaders="true" showZeros="true" rightToLeft="false" tabSelected="false" showOutlineSymbols="true" defaultGridColor="true" view="normal" topLeftCell="A82" colorId="64" zoomScale="60" zoomScaleNormal="60" zoomScalePageLayoutView="100" workbookViewId="0">
      <selection pane="topLeft" activeCell="J103" activeCellId="0" sqref="J103"/>
    </sheetView>
  </sheetViews>
  <sheetFormatPr defaultRowHeight="14.05"/>
  <cols>
    <col collapsed="false" hidden="false" max="1" min="1" style="0" width="19.2"/>
    <col collapsed="false" hidden="false" max="2" min="2" style="0" width="18.2139534883721"/>
    <col collapsed="false" hidden="false" max="3" min="3" style="0" width="18.4604651162791"/>
    <col collapsed="false" hidden="false" max="4" min="4" style="0" width="23.506976744186"/>
    <col collapsed="false" hidden="false" max="5" min="5" style="0" width="27.8139534883721"/>
    <col collapsed="false" hidden="false" max="6" min="6" style="0" width="43.0697674418605"/>
    <col collapsed="false" hidden="false" max="7" min="7" style="0" width="28.7953488372093"/>
    <col collapsed="false" hidden="false" max="8" min="8" style="0" width="27.1953488372093"/>
    <col collapsed="false" hidden="false" max="1025" min="9" style="0" width="11.5674418604651"/>
  </cols>
  <sheetData>
    <row r="1" customFormat="false" ht="17.65" hidden="false" customHeight="false" outlineLevel="0" collapsed="false">
      <c r="A1" s="99" t="s">
        <v>259</v>
      </c>
      <c r="B1" s="99"/>
      <c r="C1" s="99"/>
      <c r="D1" s="99"/>
      <c r="E1" s="99"/>
      <c r="F1" s="99"/>
      <c r="G1" s="99"/>
      <c r="H1" s="99"/>
    </row>
    <row r="2" customFormat="false" ht="14.05" hidden="false" customHeight="false" outlineLevel="0" collapsed="false">
      <c r="A2" s="139"/>
      <c r="B2" s="139"/>
      <c r="C2" s="139"/>
      <c r="D2" s="139"/>
      <c r="E2" s="139"/>
      <c r="F2" s="139"/>
      <c r="G2" s="139"/>
      <c r="H2" s="139"/>
    </row>
    <row r="3" customFormat="false" ht="15.25" hidden="false" customHeight="false" outlineLevel="0" collapsed="false">
      <c r="A3" s="100" t="s">
        <v>188</v>
      </c>
      <c r="B3" s="100"/>
      <c r="C3" s="100"/>
      <c r="D3" s="100"/>
      <c r="E3" s="100"/>
      <c r="F3" s="100"/>
      <c r="G3" s="100"/>
      <c r="H3" s="100"/>
    </row>
    <row r="4" customFormat="false" ht="15.25" hidden="false" customHeight="false" outlineLevel="0" collapsed="false">
      <c r="A4" s="102" t="s">
        <v>171</v>
      </c>
      <c r="B4" s="102" t="s">
        <v>172</v>
      </c>
      <c r="C4" s="102" t="s">
        <v>173</v>
      </c>
      <c r="D4" s="102" t="s">
        <v>174</v>
      </c>
      <c r="E4" s="102" t="s">
        <v>190</v>
      </c>
      <c r="F4" s="102" t="s">
        <v>191</v>
      </c>
      <c r="G4" s="102" t="s">
        <v>192</v>
      </c>
      <c r="H4" s="102" t="s">
        <v>193</v>
      </c>
    </row>
    <row r="5" customFormat="false" ht="15.25" hidden="false" customHeight="false" outlineLevel="0" collapsed="false">
      <c r="A5" s="105" t="n">
        <v>950</v>
      </c>
      <c r="B5" s="105" t="n">
        <v>1950</v>
      </c>
      <c r="C5" s="105" t="n">
        <v>2000</v>
      </c>
      <c r="D5" s="105" t="n">
        <f aca="false">(A5+B5+C5)/3</f>
        <v>1633.33333333333</v>
      </c>
      <c r="E5" s="106" t="n">
        <v>0.1</v>
      </c>
      <c r="F5" s="107" t="n">
        <v>10</v>
      </c>
      <c r="G5" s="105" t="n">
        <f aca="false">(D5/F5)/12</f>
        <v>13.6111111111111</v>
      </c>
      <c r="H5" s="105" t="n">
        <f aca="false">G5/4</f>
        <v>3.40277777777778</v>
      </c>
    </row>
    <row r="7" customFormat="false" ht="15.25" hidden="false" customHeight="false" outlineLevel="0" collapsed="false">
      <c r="A7" s="100" t="s">
        <v>194</v>
      </c>
      <c r="B7" s="100"/>
      <c r="C7" s="100"/>
      <c r="D7" s="100"/>
      <c r="E7" s="100"/>
      <c r="F7" s="100"/>
      <c r="G7" s="100"/>
      <c r="H7" s="100"/>
    </row>
    <row r="8" customFormat="false" ht="15.25" hidden="false" customHeight="false" outlineLevel="0" collapsed="false">
      <c r="A8" s="102" t="s">
        <v>171</v>
      </c>
      <c r="B8" s="102" t="s">
        <v>172</v>
      </c>
      <c r="C8" s="102" t="s">
        <v>173</v>
      </c>
      <c r="D8" s="102" t="s">
        <v>174</v>
      </c>
      <c r="E8" s="102" t="s">
        <v>190</v>
      </c>
      <c r="F8" s="102" t="s">
        <v>191</v>
      </c>
      <c r="G8" s="102" t="s">
        <v>192</v>
      </c>
      <c r="H8" s="102" t="s">
        <v>193</v>
      </c>
    </row>
    <row r="9" customFormat="false" ht="15.25" hidden="false" customHeight="false" outlineLevel="0" collapsed="false">
      <c r="A9" s="105" t="n">
        <v>150</v>
      </c>
      <c r="B9" s="105" t="n">
        <v>150</v>
      </c>
      <c r="C9" s="105" t="n">
        <v>150</v>
      </c>
      <c r="D9" s="105" t="n">
        <f aca="false">(A9+B9+C9)/3</f>
        <v>150</v>
      </c>
      <c r="E9" s="106" t="n">
        <v>0.1</v>
      </c>
      <c r="F9" s="107" t="n">
        <v>10</v>
      </c>
      <c r="G9" s="105" t="n">
        <f aca="false">(D9/F9)/12*2</f>
        <v>2.5</v>
      </c>
      <c r="H9" s="105" t="n">
        <f aca="false">G9/4</f>
        <v>0.625</v>
      </c>
    </row>
    <row r="11" customFormat="false" ht="15.25" hidden="false" customHeight="false" outlineLevel="0" collapsed="false">
      <c r="A11" s="100" t="s">
        <v>195</v>
      </c>
      <c r="B11" s="100"/>
      <c r="C11" s="100"/>
      <c r="D11" s="100"/>
      <c r="E11" s="100"/>
      <c r="F11" s="100"/>
      <c r="G11" s="100"/>
      <c r="H11" s="100"/>
    </row>
    <row r="12" customFormat="false" ht="15.25" hidden="false" customHeight="false" outlineLevel="0" collapsed="false">
      <c r="A12" s="102" t="s">
        <v>171</v>
      </c>
      <c r="B12" s="102" t="s">
        <v>172</v>
      </c>
      <c r="C12" s="102" t="s">
        <v>173</v>
      </c>
      <c r="D12" s="102" t="s">
        <v>174</v>
      </c>
      <c r="E12" s="102" t="s">
        <v>190</v>
      </c>
      <c r="F12" s="102" t="s">
        <v>191</v>
      </c>
      <c r="G12" s="102" t="s">
        <v>192</v>
      </c>
      <c r="H12" s="102" t="s">
        <v>193</v>
      </c>
    </row>
    <row r="13" customFormat="false" ht="15.25" hidden="false" customHeight="false" outlineLevel="0" collapsed="false">
      <c r="A13" s="105" t="n">
        <v>99.96</v>
      </c>
      <c r="B13" s="105" t="n">
        <v>103.66</v>
      </c>
      <c r="C13" s="105" t="n">
        <v>99.96</v>
      </c>
      <c r="D13" s="105" t="n">
        <f aca="false">(A13+B13+C13)/3</f>
        <v>101.193333333333</v>
      </c>
      <c r="E13" s="106" t="n">
        <v>0.2</v>
      </c>
      <c r="F13" s="107" t="n">
        <v>5</v>
      </c>
      <c r="G13" s="105" t="n">
        <f aca="false">(D13/F13)/12</f>
        <v>1.68655555555556</v>
      </c>
      <c r="H13" s="105" t="n">
        <f aca="false">G13/4</f>
        <v>0.421638888888889</v>
      </c>
    </row>
    <row r="15" customFormat="false" ht="15.25" hidden="false" customHeight="false" outlineLevel="0" collapsed="false">
      <c r="A15" s="100" t="s">
        <v>196</v>
      </c>
      <c r="B15" s="100"/>
      <c r="C15" s="100"/>
      <c r="D15" s="100"/>
      <c r="E15" s="100"/>
      <c r="F15" s="100"/>
      <c r="G15" s="100"/>
      <c r="H15" s="100"/>
    </row>
    <row r="16" customFormat="false" ht="15.25" hidden="false" customHeight="false" outlineLevel="0" collapsed="false">
      <c r="A16" s="102" t="s">
        <v>171</v>
      </c>
      <c r="B16" s="102" t="s">
        <v>172</v>
      </c>
      <c r="C16" s="102" t="s">
        <v>173</v>
      </c>
      <c r="D16" s="102" t="s">
        <v>174</v>
      </c>
      <c r="E16" s="102" t="s">
        <v>190</v>
      </c>
      <c r="F16" s="102" t="s">
        <v>191</v>
      </c>
      <c r="G16" s="102" t="s">
        <v>192</v>
      </c>
      <c r="H16" s="102" t="s">
        <v>192</v>
      </c>
    </row>
    <row r="17" customFormat="false" ht="15.25" hidden="false" customHeight="false" outlineLevel="0" collapsed="false">
      <c r="A17" s="105" t="n">
        <v>35.99</v>
      </c>
      <c r="B17" s="105" t="n">
        <v>39.99</v>
      </c>
      <c r="C17" s="105" t="n">
        <v>34.9</v>
      </c>
      <c r="D17" s="105" t="n">
        <f aca="false">(A17+B17+C17)/3</f>
        <v>36.96</v>
      </c>
      <c r="E17" s="106" t="n">
        <v>0</v>
      </c>
      <c r="F17" s="106"/>
      <c r="G17" s="105" t="n">
        <f aca="false">D17</f>
        <v>36.96</v>
      </c>
      <c r="H17" s="105" t="n">
        <f aca="false">G17/4</f>
        <v>9.24</v>
      </c>
    </row>
    <row r="19" customFormat="false" ht="15.25" hidden="false" customHeight="false" outlineLevel="0" collapsed="false">
      <c r="A19" s="100" t="s">
        <v>197</v>
      </c>
      <c r="B19" s="100"/>
      <c r="C19" s="100"/>
      <c r="D19" s="100"/>
      <c r="E19" s="100"/>
      <c r="F19" s="100"/>
      <c r="G19" s="100"/>
      <c r="H19" s="100"/>
    </row>
    <row r="20" customFormat="false" ht="15.25" hidden="false" customHeight="false" outlineLevel="0" collapsed="false">
      <c r="A20" s="102" t="s">
        <v>171</v>
      </c>
      <c r="B20" s="102" t="s">
        <v>172</v>
      </c>
      <c r="C20" s="102" t="s">
        <v>173</v>
      </c>
      <c r="D20" s="102" t="s">
        <v>174</v>
      </c>
      <c r="E20" s="102" t="s">
        <v>190</v>
      </c>
      <c r="F20" s="102" t="s">
        <v>191</v>
      </c>
      <c r="G20" s="102" t="s">
        <v>192</v>
      </c>
      <c r="H20" s="102" t="s">
        <v>193</v>
      </c>
    </row>
    <row r="21" customFormat="false" ht="15.25" hidden="false" customHeight="false" outlineLevel="0" collapsed="false">
      <c r="A21" s="105" t="n">
        <v>989</v>
      </c>
      <c r="B21" s="105" t="n">
        <v>1124.57</v>
      </c>
      <c r="C21" s="105" t="n">
        <v>1180</v>
      </c>
      <c r="D21" s="105" t="n">
        <f aca="false">(A21+B21+C21)/3</f>
        <v>1097.85666666667</v>
      </c>
      <c r="E21" s="106" t="n">
        <v>0.1</v>
      </c>
      <c r="F21" s="107" t="n">
        <v>10</v>
      </c>
      <c r="G21" s="105" t="n">
        <f aca="false">(D21/F21)/12</f>
        <v>9.14880555555556</v>
      </c>
      <c r="H21" s="105" t="n">
        <f aca="false">G21/4</f>
        <v>2.28720138888889</v>
      </c>
    </row>
    <row r="23" customFormat="false" ht="15.25" hidden="false" customHeight="false" outlineLevel="0" collapsed="false">
      <c r="A23" s="100" t="s">
        <v>198</v>
      </c>
      <c r="B23" s="100"/>
      <c r="C23" s="100"/>
      <c r="D23" s="100"/>
      <c r="E23" s="100"/>
      <c r="F23" s="100"/>
      <c r="G23" s="100"/>
      <c r="H23" s="100"/>
    </row>
    <row r="24" customFormat="false" ht="15.25" hidden="false" customHeight="false" outlineLevel="0" collapsed="false">
      <c r="A24" s="102" t="s">
        <v>171</v>
      </c>
      <c r="B24" s="102" t="s">
        <v>172</v>
      </c>
      <c r="C24" s="102" t="s">
        <v>173</v>
      </c>
      <c r="D24" s="102" t="s">
        <v>174</v>
      </c>
      <c r="E24" s="102" t="s">
        <v>190</v>
      </c>
      <c r="F24" s="102" t="s">
        <v>191</v>
      </c>
      <c r="G24" s="102" t="s">
        <v>192</v>
      </c>
      <c r="H24" s="102" t="s">
        <v>193</v>
      </c>
    </row>
    <row r="25" customFormat="false" ht="15.25" hidden="false" customHeight="false" outlineLevel="0" collapsed="false">
      <c r="A25" s="105" t="n">
        <v>1050</v>
      </c>
      <c r="B25" s="105" t="n">
        <v>1050</v>
      </c>
      <c r="C25" s="105" t="n">
        <v>1050</v>
      </c>
      <c r="D25" s="105" t="n">
        <f aca="false">(A25+B25+C25)/3</f>
        <v>1050</v>
      </c>
      <c r="E25" s="106" t="n">
        <v>0.2</v>
      </c>
      <c r="F25" s="107" t="n">
        <v>5</v>
      </c>
      <c r="G25" s="105" t="n">
        <f aca="false">(D25/F25)/12</f>
        <v>17.5</v>
      </c>
      <c r="H25" s="105" t="n">
        <f aca="false">G25/4</f>
        <v>4.375</v>
      </c>
    </row>
    <row r="27" customFormat="false" ht="15.25" hidden="false" customHeight="false" outlineLevel="0" collapsed="false">
      <c r="A27" s="100" t="s">
        <v>199</v>
      </c>
      <c r="B27" s="100"/>
      <c r="C27" s="100"/>
      <c r="D27" s="100"/>
      <c r="E27" s="100"/>
      <c r="F27" s="100"/>
      <c r="G27" s="100"/>
      <c r="H27" s="100"/>
    </row>
    <row r="28" customFormat="false" ht="15.25" hidden="false" customHeight="false" outlineLevel="0" collapsed="false">
      <c r="A28" s="102" t="s">
        <v>171</v>
      </c>
      <c r="B28" s="102" t="s">
        <v>172</v>
      </c>
      <c r="C28" s="102" t="s">
        <v>173</v>
      </c>
      <c r="D28" s="102" t="s">
        <v>174</v>
      </c>
      <c r="E28" s="102" t="s">
        <v>190</v>
      </c>
      <c r="F28" s="102" t="s">
        <v>191</v>
      </c>
      <c r="G28" s="102" t="s">
        <v>192</v>
      </c>
      <c r="H28" s="102" t="s">
        <v>193</v>
      </c>
    </row>
    <row r="29" customFormat="false" ht="15.25" hidden="false" customHeight="false" outlineLevel="0" collapsed="false">
      <c r="A29" s="105" t="n">
        <v>180</v>
      </c>
      <c r="B29" s="105" t="n">
        <v>150</v>
      </c>
      <c r="C29" s="105" t="n">
        <v>175</v>
      </c>
      <c r="D29" s="105" t="n">
        <f aca="false">(A29+B29+C29)/3</f>
        <v>168.333333333333</v>
      </c>
      <c r="E29" s="106" t="n">
        <v>0.25</v>
      </c>
      <c r="F29" s="107" t="n">
        <v>4</v>
      </c>
      <c r="G29" s="105" t="n">
        <f aca="false">(D29/F29)/12</f>
        <v>3.50694444444444</v>
      </c>
      <c r="H29" s="105" t="n">
        <f aca="false">G29/4</f>
        <v>0.876736111111111</v>
      </c>
    </row>
    <row r="31" customFormat="false" ht="15.25" hidden="false" customHeight="false" outlineLevel="0" collapsed="false">
      <c r="A31" s="100" t="s">
        <v>224</v>
      </c>
      <c r="B31" s="100"/>
      <c r="C31" s="100"/>
      <c r="D31" s="100"/>
      <c r="E31" s="100"/>
      <c r="F31" s="100"/>
      <c r="G31" s="100"/>
      <c r="H31" s="100"/>
    </row>
    <row r="32" customFormat="false" ht="15.25" hidden="false" customHeight="false" outlineLevel="0" collapsed="false">
      <c r="A32" s="102" t="s">
        <v>171</v>
      </c>
      <c r="B32" s="102" t="s">
        <v>172</v>
      </c>
      <c r="C32" s="102" t="s">
        <v>173</v>
      </c>
      <c r="D32" s="102" t="s">
        <v>174</v>
      </c>
      <c r="E32" s="102" t="s">
        <v>190</v>
      </c>
      <c r="F32" s="102" t="s">
        <v>191</v>
      </c>
      <c r="G32" s="102" t="s">
        <v>192</v>
      </c>
      <c r="H32" s="102" t="s">
        <v>193</v>
      </c>
    </row>
    <row r="33" customFormat="false" ht="15.25" hidden="false" customHeight="false" outlineLevel="0" collapsed="false">
      <c r="A33" s="105" t="n">
        <v>10</v>
      </c>
      <c r="B33" s="105" t="n">
        <v>10</v>
      </c>
      <c r="C33" s="105" t="n">
        <v>10</v>
      </c>
      <c r="D33" s="105" t="n">
        <f aca="false">(A33+B33+C33)/3</f>
        <v>10</v>
      </c>
      <c r="E33" s="106" t="n">
        <v>0.25</v>
      </c>
      <c r="F33" s="107" t="n">
        <v>4</v>
      </c>
      <c r="G33" s="105" t="n">
        <f aca="false">(D33/F33)/12</f>
        <v>0.208333333333333</v>
      </c>
      <c r="H33" s="105" t="n">
        <f aca="false">G33/4</f>
        <v>0.0520833333333333</v>
      </c>
    </row>
    <row r="35" customFormat="false" ht="15.25" hidden="false" customHeight="false" outlineLevel="0" collapsed="false">
      <c r="A35" s="100" t="s">
        <v>201</v>
      </c>
      <c r="B35" s="100"/>
      <c r="C35" s="100"/>
      <c r="D35" s="100"/>
      <c r="E35" s="100"/>
      <c r="F35" s="100"/>
      <c r="G35" s="100"/>
      <c r="H35" s="100"/>
    </row>
    <row r="36" customFormat="false" ht="15.25" hidden="false" customHeight="false" outlineLevel="0" collapsed="false">
      <c r="A36" s="102" t="s">
        <v>171</v>
      </c>
      <c r="B36" s="102" t="s">
        <v>172</v>
      </c>
      <c r="C36" s="102" t="s">
        <v>173</v>
      </c>
      <c r="D36" s="102" t="s">
        <v>174</v>
      </c>
      <c r="E36" s="102" t="s">
        <v>190</v>
      </c>
      <c r="F36" s="102" t="s">
        <v>191</v>
      </c>
      <c r="G36" s="102" t="s">
        <v>192</v>
      </c>
      <c r="H36" s="102" t="s">
        <v>193</v>
      </c>
    </row>
    <row r="37" customFormat="false" ht="15.25" hidden="false" customHeight="false" outlineLevel="0" collapsed="false">
      <c r="A37" s="105" t="n">
        <v>53.02</v>
      </c>
      <c r="B37" s="105" t="n">
        <v>53.02</v>
      </c>
      <c r="C37" s="105" t="n">
        <v>53.02</v>
      </c>
      <c r="D37" s="105" t="n">
        <f aca="false">(A37+B37+C37)/3</f>
        <v>53.02</v>
      </c>
      <c r="E37" s="106" t="n">
        <v>0.25</v>
      </c>
      <c r="F37" s="107" t="n">
        <v>4</v>
      </c>
      <c r="G37" s="105" t="n">
        <f aca="false">(D37/F37)/12</f>
        <v>1.10458333333333</v>
      </c>
      <c r="H37" s="105" t="n">
        <f aca="false">G37/4</f>
        <v>0.276145833333333</v>
      </c>
    </row>
    <row r="39" customFormat="false" ht="15.25" hidden="false" customHeight="false" outlineLevel="0" collapsed="false">
      <c r="A39" s="100" t="s">
        <v>202</v>
      </c>
      <c r="B39" s="100"/>
      <c r="C39" s="100"/>
      <c r="D39" s="100"/>
      <c r="E39" s="100"/>
      <c r="F39" s="100"/>
      <c r="G39" s="100"/>
      <c r="H39" s="100"/>
    </row>
    <row r="40" customFormat="false" ht="15.25" hidden="false" customHeight="false" outlineLevel="0" collapsed="false">
      <c r="A40" s="102" t="s">
        <v>171</v>
      </c>
      <c r="B40" s="102" t="s">
        <v>172</v>
      </c>
      <c r="C40" s="102" t="s">
        <v>173</v>
      </c>
      <c r="D40" s="102" t="s">
        <v>174</v>
      </c>
      <c r="E40" s="102" t="s">
        <v>190</v>
      </c>
      <c r="F40" s="102" t="s">
        <v>191</v>
      </c>
      <c r="G40" s="102" t="s">
        <v>192</v>
      </c>
      <c r="H40" s="102" t="s">
        <v>192</v>
      </c>
    </row>
    <row r="41" customFormat="false" ht="15.25" hidden="false" customHeight="false" outlineLevel="0" collapsed="false">
      <c r="A41" s="105" t="n">
        <v>100</v>
      </c>
      <c r="B41" s="105" t="n">
        <v>80</v>
      </c>
      <c r="C41" s="105" t="n">
        <v>100</v>
      </c>
      <c r="D41" s="105" t="n">
        <f aca="false">(A41+B41+C41)/3</f>
        <v>93.3333333333333</v>
      </c>
      <c r="E41" s="106" t="n">
        <v>0.2</v>
      </c>
      <c r="F41" s="107" t="n">
        <v>5</v>
      </c>
      <c r="G41" s="105" t="n">
        <f aca="false">(D41/F41)/12</f>
        <v>1.55555555555556</v>
      </c>
      <c r="H41" s="105" t="n">
        <f aca="false">G41/4</f>
        <v>0.388888888888889</v>
      </c>
    </row>
    <row r="43" customFormat="false" ht="15.25" hidden="false" customHeight="false" outlineLevel="0" collapsed="false">
      <c r="A43" s="100" t="s">
        <v>203</v>
      </c>
      <c r="B43" s="100"/>
      <c r="C43" s="100"/>
      <c r="D43" s="100"/>
      <c r="E43" s="100"/>
      <c r="F43" s="100"/>
      <c r="G43" s="100"/>
      <c r="H43" s="100"/>
    </row>
    <row r="44" customFormat="false" ht="15.25" hidden="false" customHeight="false" outlineLevel="0" collapsed="false">
      <c r="A44" s="102" t="s">
        <v>171</v>
      </c>
      <c r="B44" s="102" t="s">
        <v>172</v>
      </c>
      <c r="C44" s="102" t="s">
        <v>173</v>
      </c>
      <c r="D44" s="102" t="s">
        <v>174</v>
      </c>
      <c r="E44" s="102" t="s">
        <v>190</v>
      </c>
      <c r="F44" s="102" t="s">
        <v>191</v>
      </c>
      <c r="G44" s="102" t="s">
        <v>192</v>
      </c>
      <c r="H44" s="102" t="s">
        <v>193</v>
      </c>
    </row>
    <row r="45" customFormat="false" ht="15.25" hidden="false" customHeight="false" outlineLevel="0" collapsed="false">
      <c r="A45" s="105" t="n">
        <v>1100</v>
      </c>
      <c r="B45" s="105" t="n">
        <v>900</v>
      </c>
      <c r="C45" s="105" t="n">
        <v>1200</v>
      </c>
      <c r="D45" s="105" t="n">
        <f aca="false">(A45+B45+C45)/3</f>
        <v>1066.66666666667</v>
      </c>
      <c r="E45" s="106" t="n">
        <v>0.2</v>
      </c>
      <c r="F45" s="107" t="n">
        <v>5</v>
      </c>
      <c r="G45" s="105" t="n">
        <f aca="false">(D45/F45)/12</f>
        <v>17.7777777777778</v>
      </c>
      <c r="H45" s="105" t="n">
        <f aca="false">G45/4</f>
        <v>4.44444444444444</v>
      </c>
    </row>
    <row r="47" customFormat="false" ht="15.25" hidden="false" customHeight="false" outlineLevel="0" collapsed="false">
      <c r="A47" s="100" t="s">
        <v>205</v>
      </c>
      <c r="B47" s="100"/>
      <c r="C47" s="100"/>
      <c r="D47" s="100"/>
      <c r="E47" s="100"/>
      <c r="F47" s="100"/>
      <c r="G47" s="100"/>
      <c r="H47" s="100"/>
    </row>
    <row r="48" customFormat="false" ht="15.25" hidden="false" customHeight="false" outlineLevel="0" collapsed="false">
      <c r="A48" s="102" t="s">
        <v>171</v>
      </c>
      <c r="B48" s="102" t="s">
        <v>172</v>
      </c>
      <c r="C48" s="102" t="s">
        <v>173</v>
      </c>
      <c r="D48" s="102" t="s">
        <v>174</v>
      </c>
      <c r="E48" s="102" t="s">
        <v>190</v>
      </c>
      <c r="F48" s="102" t="s">
        <v>191</v>
      </c>
      <c r="G48" s="102" t="s">
        <v>192</v>
      </c>
      <c r="H48" s="102" t="s">
        <v>193</v>
      </c>
    </row>
    <row r="49" customFormat="false" ht="15.25" hidden="false" customHeight="false" outlineLevel="0" collapsed="false">
      <c r="A49" s="105" t="n">
        <v>17</v>
      </c>
      <c r="B49" s="105" t="n">
        <v>17</v>
      </c>
      <c r="C49" s="105" t="n">
        <v>17</v>
      </c>
      <c r="D49" s="105" t="n">
        <f aca="false">(A49+B49+C49)/3</f>
        <v>17</v>
      </c>
      <c r="E49" s="106" t="n">
        <v>0.2</v>
      </c>
      <c r="F49" s="107" t="n">
        <v>5</v>
      </c>
      <c r="G49" s="105" t="n">
        <f aca="false">(D49/F49)/12*3</f>
        <v>0.85</v>
      </c>
      <c r="H49" s="105" t="n">
        <f aca="false">G49/4</f>
        <v>0.2125</v>
      </c>
    </row>
    <row r="50" customFormat="false" ht="15.25" hidden="false" customHeight="false" outlineLevel="0" collapsed="false">
      <c r="A50" s="105"/>
      <c r="B50" s="105"/>
      <c r="C50" s="105"/>
      <c r="D50" s="105"/>
      <c r="E50" s="106"/>
      <c r="F50" s="107"/>
      <c r="G50" s="105"/>
      <c r="H50" s="105"/>
    </row>
    <row r="51" customFormat="false" ht="15.25" hidden="false" customHeight="false" outlineLevel="0" collapsed="false">
      <c r="A51" s="100" t="s">
        <v>206</v>
      </c>
      <c r="B51" s="100"/>
      <c r="C51" s="100"/>
      <c r="D51" s="100"/>
      <c r="E51" s="100"/>
      <c r="F51" s="100"/>
      <c r="G51" s="100"/>
      <c r="H51" s="100"/>
      <c r="I51" s="125"/>
    </row>
    <row r="52" customFormat="false" ht="15.25" hidden="false" customHeight="false" outlineLevel="0" collapsed="false">
      <c r="A52" s="102" t="s">
        <v>171</v>
      </c>
      <c r="B52" s="102" t="s">
        <v>172</v>
      </c>
      <c r="C52" s="102" t="s">
        <v>173</v>
      </c>
      <c r="D52" s="102" t="s">
        <v>174</v>
      </c>
      <c r="E52" s="102" t="s">
        <v>190</v>
      </c>
      <c r="F52" s="102" t="s">
        <v>191</v>
      </c>
      <c r="G52" s="102" t="s">
        <v>192</v>
      </c>
      <c r="H52" s="102" t="s">
        <v>193</v>
      </c>
      <c r="I52" s="125"/>
    </row>
    <row r="53" customFormat="false" ht="15.25" hidden="false" customHeight="false" outlineLevel="0" collapsed="false">
      <c r="A53" s="105" t="n">
        <v>6</v>
      </c>
      <c r="B53" s="105" t="n">
        <v>6</v>
      </c>
      <c r="C53" s="105" t="n">
        <v>6</v>
      </c>
      <c r="D53" s="105" t="n">
        <f aca="false">(A53+B53+C53)/3</f>
        <v>6</v>
      </c>
      <c r="E53" s="106" t="n">
        <v>1</v>
      </c>
      <c r="F53" s="107" t="n">
        <v>1</v>
      </c>
      <c r="G53" s="105" t="n">
        <f aca="false">(D53/F53)/12*12</f>
        <v>6</v>
      </c>
      <c r="H53" s="105" t="n">
        <f aca="false">G53/4</f>
        <v>1.5</v>
      </c>
      <c r="I53" s="125"/>
    </row>
    <row r="54" customFormat="false" ht="15.25" hidden="false" customHeight="false" outlineLevel="0" collapsed="false">
      <c r="A54" s="105"/>
      <c r="B54" s="105"/>
      <c r="C54" s="105"/>
      <c r="D54" s="105"/>
      <c r="E54" s="106"/>
      <c r="F54" s="106"/>
      <c r="G54" s="105"/>
      <c r="H54" s="105"/>
      <c r="I54" s="125"/>
    </row>
    <row r="55" customFormat="false" ht="15.25" hidden="false" customHeight="false" outlineLevel="0" collapsed="false">
      <c r="A55" s="100" t="s">
        <v>211</v>
      </c>
      <c r="B55" s="100"/>
      <c r="C55" s="100"/>
      <c r="D55" s="100"/>
      <c r="E55" s="100"/>
      <c r="F55" s="100"/>
      <c r="G55" s="100"/>
      <c r="H55" s="100"/>
      <c r="I55" s="125"/>
    </row>
    <row r="56" customFormat="false" ht="15.25" hidden="false" customHeight="false" outlineLevel="0" collapsed="false">
      <c r="A56" s="102" t="s">
        <v>171</v>
      </c>
      <c r="B56" s="102" t="s">
        <v>172</v>
      </c>
      <c r="C56" s="102" t="s">
        <v>173</v>
      </c>
      <c r="D56" s="102" t="s">
        <v>174</v>
      </c>
      <c r="E56" s="102" t="s">
        <v>190</v>
      </c>
      <c r="F56" s="102" t="s">
        <v>191</v>
      </c>
      <c r="G56" s="102" t="s">
        <v>192</v>
      </c>
      <c r="H56" s="102" t="s">
        <v>193</v>
      </c>
      <c r="I56" s="125"/>
    </row>
    <row r="57" customFormat="false" ht="15.25" hidden="false" customHeight="false" outlineLevel="0" collapsed="false">
      <c r="A57" s="105" t="n">
        <v>170.1</v>
      </c>
      <c r="B57" s="105" t="n">
        <v>140.7</v>
      </c>
      <c r="C57" s="105" t="n">
        <v>161.9</v>
      </c>
      <c r="D57" s="105" t="n">
        <f aca="false">(A57+B57+C57)/3</f>
        <v>157.566666666667</v>
      </c>
      <c r="E57" s="106" t="n">
        <v>1</v>
      </c>
      <c r="F57" s="107" t="n">
        <v>1</v>
      </c>
      <c r="G57" s="105" t="n">
        <f aca="false">(D57/F57)/12*12</f>
        <v>157.566666666667</v>
      </c>
      <c r="H57" s="105" t="n">
        <f aca="false">G57/4</f>
        <v>39.3916666666667</v>
      </c>
      <c r="I57" s="125"/>
    </row>
    <row r="58" customFormat="false" ht="15.25" hidden="false" customHeight="false" outlineLevel="0" collapsed="false">
      <c r="A58" s="105"/>
      <c r="B58" s="105"/>
      <c r="C58" s="105"/>
      <c r="D58" s="105"/>
      <c r="E58" s="106"/>
      <c r="F58" s="106"/>
      <c r="G58" s="105"/>
      <c r="H58" s="105"/>
      <c r="I58" s="125"/>
    </row>
    <row r="59" customFormat="false" ht="15.25" hidden="false" customHeight="false" outlineLevel="0" collapsed="false">
      <c r="A59" s="100" t="s">
        <v>207</v>
      </c>
      <c r="B59" s="100"/>
      <c r="C59" s="100"/>
      <c r="D59" s="100"/>
      <c r="E59" s="100"/>
      <c r="F59" s="100"/>
      <c r="G59" s="100"/>
      <c r="H59" s="100"/>
      <c r="I59" s="125"/>
    </row>
    <row r="60" customFormat="false" ht="15.25" hidden="false" customHeight="false" outlineLevel="0" collapsed="false">
      <c r="A60" s="102" t="s">
        <v>171</v>
      </c>
      <c r="B60" s="102" t="s">
        <v>172</v>
      </c>
      <c r="C60" s="102" t="s">
        <v>173</v>
      </c>
      <c r="D60" s="102" t="s">
        <v>174</v>
      </c>
      <c r="E60" s="102" t="s">
        <v>190</v>
      </c>
      <c r="F60" s="102" t="s">
        <v>191</v>
      </c>
      <c r="G60" s="102" t="s">
        <v>192</v>
      </c>
      <c r="H60" s="102" t="s">
        <v>193</v>
      </c>
      <c r="I60" s="125"/>
    </row>
    <row r="61" customFormat="false" ht="15.25" hidden="false" customHeight="false" outlineLevel="0" collapsed="false">
      <c r="A61" s="105" t="n">
        <v>80</v>
      </c>
      <c r="B61" s="105" t="n">
        <v>80</v>
      </c>
      <c r="C61" s="105" t="n">
        <v>75</v>
      </c>
      <c r="D61" s="105" t="n">
        <f aca="false">(A61+B61+C61)/3</f>
        <v>78.3333333333333</v>
      </c>
      <c r="E61" s="106" t="n">
        <v>1</v>
      </c>
      <c r="F61" s="107" t="n">
        <v>1</v>
      </c>
      <c r="G61" s="105" t="n">
        <f aca="false">(D61/F61)/12*24</f>
        <v>156.666666666667</v>
      </c>
      <c r="H61" s="105" t="n">
        <f aca="false">G61/4</f>
        <v>39.1666666666667</v>
      </c>
      <c r="I61" s="125"/>
    </row>
    <row r="62" customFormat="false" ht="15.25" hidden="false" customHeight="false" outlineLevel="0" collapsed="false">
      <c r="A62" s="105"/>
      <c r="B62" s="105"/>
      <c r="C62" s="105"/>
      <c r="D62" s="105"/>
      <c r="E62" s="106"/>
      <c r="F62" s="106"/>
      <c r="G62" s="105"/>
      <c r="H62" s="105"/>
      <c r="I62" s="125"/>
    </row>
    <row r="63" customFormat="false" ht="15.25" hidden="false" customHeight="false" outlineLevel="0" collapsed="false">
      <c r="A63" s="100" t="s">
        <v>208</v>
      </c>
      <c r="B63" s="100"/>
      <c r="C63" s="100"/>
      <c r="D63" s="100"/>
      <c r="E63" s="100"/>
      <c r="F63" s="100"/>
      <c r="G63" s="100"/>
      <c r="H63" s="100"/>
      <c r="I63" s="125"/>
    </row>
    <row r="64" customFormat="false" ht="15.25" hidden="false" customHeight="false" outlineLevel="0" collapsed="false">
      <c r="A64" s="102" t="s">
        <v>171</v>
      </c>
      <c r="B64" s="102" t="s">
        <v>172</v>
      </c>
      <c r="C64" s="102" t="s">
        <v>173</v>
      </c>
      <c r="D64" s="102" t="s">
        <v>174</v>
      </c>
      <c r="E64" s="102" t="s">
        <v>190</v>
      </c>
      <c r="F64" s="102" t="s">
        <v>191</v>
      </c>
      <c r="G64" s="102" t="s">
        <v>192</v>
      </c>
      <c r="H64" s="102" t="s">
        <v>193</v>
      </c>
      <c r="I64" s="125"/>
    </row>
    <row r="65" customFormat="false" ht="15.25" hidden="false" customHeight="false" outlineLevel="0" collapsed="false">
      <c r="A65" s="105" t="n">
        <v>15</v>
      </c>
      <c r="B65" s="105" t="n">
        <v>15</v>
      </c>
      <c r="C65" s="105" t="n">
        <v>15</v>
      </c>
      <c r="D65" s="105" t="n">
        <f aca="false">(A65+B65+C65)/3</f>
        <v>15</v>
      </c>
      <c r="E65" s="106" t="n">
        <v>1</v>
      </c>
      <c r="F65" s="107" t="n">
        <v>1</v>
      </c>
      <c r="G65" s="105" t="n">
        <f aca="false">(D65/F65)/12*24</f>
        <v>30</v>
      </c>
      <c r="H65" s="105" t="n">
        <f aca="false">G65/4</f>
        <v>7.5</v>
      </c>
      <c r="I65" s="125"/>
    </row>
    <row r="66" customFormat="false" ht="15.25" hidden="false" customHeight="false" outlineLevel="0" collapsed="false">
      <c r="A66" s="105"/>
      <c r="B66" s="105"/>
      <c r="C66" s="105"/>
      <c r="D66" s="105"/>
      <c r="E66" s="106"/>
      <c r="F66" s="106"/>
      <c r="G66" s="105"/>
      <c r="H66" s="105"/>
      <c r="I66" s="125"/>
    </row>
    <row r="67" customFormat="false" ht="15.25" hidden="false" customHeight="false" outlineLevel="0" collapsed="false">
      <c r="A67" s="100" t="s">
        <v>210</v>
      </c>
      <c r="B67" s="100"/>
      <c r="C67" s="100"/>
      <c r="D67" s="100"/>
      <c r="E67" s="100"/>
      <c r="F67" s="100"/>
      <c r="G67" s="100"/>
      <c r="H67" s="100"/>
      <c r="I67" s="125"/>
    </row>
    <row r="68" customFormat="false" ht="15.25" hidden="false" customHeight="false" outlineLevel="0" collapsed="false">
      <c r="A68" s="102" t="s">
        <v>171</v>
      </c>
      <c r="B68" s="102" t="s">
        <v>172</v>
      </c>
      <c r="C68" s="102" t="s">
        <v>173</v>
      </c>
      <c r="D68" s="102" t="s">
        <v>174</v>
      </c>
      <c r="E68" s="102" t="s">
        <v>190</v>
      </c>
      <c r="F68" s="102" t="s">
        <v>191</v>
      </c>
      <c r="G68" s="102" t="s">
        <v>192</v>
      </c>
      <c r="H68" s="102" t="s">
        <v>193</v>
      </c>
      <c r="I68" s="125"/>
    </row>
    <row r="69" customFormat="false" ht="15.25" hidden="false" customHeight="false" outlineLevel="0" collapsed="false">
      <c r="A69" s="105" t="n">
        <v>10</v>
      </c>
      <c r="B69" s="105" t="n">
        <v>10</v>
      </c>
      <c r="C69" s="105" t="n">
        <v>10</v>
      </c>
      <c r="D69" s="105" t="n">
        <f aca="false">(A69+B69+C69)/3</f>
        <v>10</v>
      </c>
      <c r="E69" s="106" t="n">
        <v>1</v>
      </c>
      <c r="F69" s="107" t="n">
        <v>1</v>
      </c>
      <c r="G69" s="105" t="n">
        <f aca="false">(D69/F69)/12*12</f>
        <v>10</v>
      </c>
      <c r="H69" s="105" t="n">
        <f aca="false">G69/4</f>
        <v>2.5</v>
      </c>
      <c r="I69" s="125"/>
    </row>
    <row r="70" customFormat="false" ht="15.25" hidden="false" customHeight="false" outlineLevel="0" collapsed="false">
      <c r="A70" s="105"/>
      <c r="B70" s="105"/>
      <c r="C70" s="105"/>
      <c r="D70" s="105"/>
      <c r="E70" s="106"/>
      <c r="F70" s="106"/>
      <c r="G70" s="105"/>
      <c r="H70" s="105"/>
      <c r="I70" s="125"/>
    </row>
    <row r="71" customFormat="false" ht="15.25" hidden="false" customHeight="false" outlineLevel="0" collapsed="false">
      <c r="A71" s="100" t="s">
        <v>212</v>
      </c>
      <c r="B71" s="100"/>
      <c r="C71" s="100"/>
      <c r="D71" s="100"/>
      <c r="E71" s="100"/>
      <c r="F71" s="100"/>
      <c r="G71" s="100"/>
      <c r="H71" s="100"/>
      <c r="I71" s="125"/>
    </row>
    <row r="72" customFormat="false" ht="15.25" hidden="false" customHeight="false" outlineLevel="0" collapsed="false">
      <c r="A72" s="102" t="s">
        <v>171</v>
      </c>
      <c r="B72" s="102" t="s">
        <v>172</v>
      </c>
      <c r="C72" s="102" t="s">
        <v>173</v>
      </c>
      <c r="D72" s="102" t="s">
        <v>174</v>
      </c>
      <c r="E72" s="102" t="s">
        <v>190</v>
      </c>
      <c r="F72" s="102" t="s">
        <v>191</v>
      </c>
      <c r="G72" s="102" t="s">
        <v>192</v>
      </c>
      <c r="H72" s="102" t="s">
        <v>193</v>
      </c>
      <c r="I72" s="125"/>
    </row>
    <row r="73" customFormat="false" ht="15.25" hidden="false" customHeight="false" outlineLevel="0" collapsed="false">
      <c r="A73" s="105" t="n">
        <v>25</v>
      </c>
      <c r="B73" s="105" t="n">
        <v>25</v>
      </c>
      <c r="C73" s="105" t="n">
        <v>25</v>
      </c>
      <c r="D73" s="105" t="n">
        <f aca="false">(A73+B73+C73)/3</f>
        <v>25</v>
      </c>
      <c r="E73" s="106" t="n">
        <v>1</v>
      </c>
      <c r="F73" s="107" t="n">
        <v>1</v>
      </c>
      <c r="G73" s="105" t="n">
        <f aca="false">(D73/F73)/12*12</f>
        <v>25</v>
      </c>
      <c r="H73" s="105" t="n">
        <f aca="false">G73/4</f>
        <v>6.25</v>
      </c>
      <c r="I73" s="125"/>
    </row>
    <row r="74" customFormat="false" ht="15.25" hidden="false" customHeight="false" outlineLevel="0" collapsed="false">
      <c r="A74" s="105"/>
      <c r="B74" s="105"/>
      <c r="C74" s="105"/>
      <c r="D74" s="105"/>
      <c r="E74" s="106"/>
      <c r="F74" s="106"/>
      <c r="G74" s="105"/>
      <c r="H74" s="105"/>
      <c r="I74" s="125"/>
    </row>
    <row r="75" customFormat="false" ht="15.25" hidden="false" customHeight="false" outlineLevel="0" collapsed="false">
      <c r="A75" s="100" t="s">
        <v>213</v>
      </c>
      <c r="B75" s="100"/>
      <c r="C75" s="100"/>
      <c r="D75" s="100"/>
      <c r="E75" s="100"/>
      <c r="F75" s="100"/>
      <c r="G75" s="100"/>
      <c r="H75" s="100"/>
      <c r="I75" s="125"/>
    </row>
    <row r="76" customFormat="false" ht="15.25" hidden="false" customHeight="false" outlineLevel="0" collapsed="false">
      <c r="A76" s="102" t="s">
        <v>171</v>
      </c>
      <c r="B76" s="102" t="s">
        <v>172</v>
      </c>
      <c r="C76" s="102" t="s">
        <v>173</v>
      </c>
      <c r="D76" s="102" t="s">
        <v>174</v>
      </c>
      <c r="E76" s="102" t="s">
        <v>190</v>
      </c>
      <c r="F76" s="102" t="s">
        <v>191</v>
      </c>
      <c r="G76" s="102" t="s">
        <v>192</v>
      </c>
      <c r="H76" s="102" t="s">
        <v>193</v>
      </c>
      <c r="I76" s="125"/>
    </row>
    <row r="77" customFormat="false" ht="15.25" hidden="false" customHeight="false" outlineLevel="0" collapsed="false">
      <c r="A77" s="105" t="n">
        <v>50</v>
      </c>
      <c r="B77" s="105" t="n">
        <v>35</v>
      </c>
      <c r="C77" s="105" t="n">
        <v>45</v>
      </c>
      <c r="D77" s="105" t="n">
        <f aca="false">(A77+B77+C77)/3</f>
        <v>43.3333333333333</v>
      </c>
      <c r="E77" s="106" t="n">
        <v>1</v>
      </c>
      <c r="F77" s="107" t="n">
        <v>1</v>
      </c>
      <c r="G77" s="105" t="n">
        <f aca="false">(D77/F77)/12*12</f>
        <v>43.3333333333333</v>
      </c>
      <c r="H77" s="105" t="n">
        <f aca="false">G77/4</f>
        <v>10.8333333333333</v>
      </c>
      <c r="I77" s="125"/>
    </row>
    <row r="78" customFormat="false" ht="15.25" hidden="false" customHeight="false" outlineLevel="0" collapsed="false">
      <c r="A78" s="105"/>
      <c r="B78" s="105"/>
      <c r="C78" s="105"/>
      <c r="D78" s="105"/>
      <c r="E78" s="106"/>
      <c r="F78" s="106"/>
      <c r="G78" s="105"/>
      <c r="H78" s="105"/>
      <c r="I78" s="125"/>
    </row>
    <row r="79" customFormat="false" ht="15.25" hidden="false" customHeight="false" outlineLevel="0" collapsed="false">
      <c r="A79" s="100" t="s">
        <v>214</v>
      </c>
      <c r="B79" s="100"/>
      <c r="C79" s="100"/>
      <c r="D79" s="100"/>
      <c r="E79" s="100"/>
      <c r="F79" s="100"/>
      <c r="G79" s="100"/>
      <c r="H79" s="100"/>
      <c r="I79" s="125"/>
    </row>
    <row r="80" customFormat="false" ht="15.25" hidden="false" customHeight="false" outlineLevel="0" collapsed="false">
      <c r="A80" s="102" t="s">
        <v>171</v>
      </c>
      <c r="B80" s="102" t="s">
        <v>172</v>
      </c>
      <c r="C80" s="102" t="s">
        <v>173</v>
      </c>
      <c r="D80" s="102" t="s">
        <v>174</v>
      </c>
      <c r="E80" s="102" t="s">
        <v>190</v>
      </c>
      <c r="F80" s="102" t="s">
        <v>191</v>
      </c>
      <c r="G80" s="102" t="s">
        <v>192</v>
      </c>
      <c r="H80" s="102" t="s">
        <v>193</v>
      </c>
      <c r="I80" s="125"/>
    </row>
    <row r="81" customFormat="false" ht="15.25" hidden="false" customHeight="false" outlineLevel="0" collapsed="false">
      <c r="A81" s="105" t="n">
        <v>160</v>
      </c>
      <c r="B81" s="105" t="n">
        <v>250</v>
      </c>
      <c r="C81" s="105" t="n">
        <v>190</v>
      </c>
      <c r="D81" s="105" t="n">
        <f aca="false">(A81+B81+C81)/3</f>
        <v>200</v>
      </c>
      <c r="E81" s="106" t="n">
        <v>1</v>
      </c>
      <c r="F81" s="107" t="n">
        <v>1</v>
      </c>
      <c r="G81" s="105" t="n">
        <f aca="false">(D81/F81)/12*12</f>
        <v>200</v>
      </c>
      <c r="H81" s="105" t="n">
        <f aca="false">G81/4</f>
        <v>50</v>
      </c>
      <c r="I81" s="125"/>
    </row>
    <row r="82" customFormat="false" ht="15.25" hidden="false" customHeight="false" outlineLevel="0" collapsed="false">
      <c r="A82" s="105"/>
      <c r="B82" s="105"/>
      <c r="C82" s="105"/>
      <c r="D82" s="105"/>
      <c r="E82" s="106"/>
      <c r="F82" s="106"/>
      <c r="G82" s="105"/>
      <c r="H82" s="105"/>
      <c r="I82" s="125"/>
    </row>
    <row r="83" customFormat="false" ht="15.25" hidden="false" customHeight="false" outlineLevel="0" collapsed="false">
      <c r="A83" s="100" t="s">
        <v>215</v>
      </c>
      <c r="B83" s="100"/>
      <c r="C83" s="100"/>
      <c r="D83" s="100"/>
      <c r="E83" s="100"/>
      <c r="F83" s="100"/>
      <c r="G83" s="100"/>
      <c r="H83" s="100"/>
      <c r="I83" s="125"/>
    </row>
    <row r="84" customFormat="false" ht="15.25" hidden="false" customHeight="false" outlineLevel="0" collapsed="false">
      <c r="A84" s="102" t="s">
        <v>171</v>
      </c>
      <c r="B84" s="102" t="s">
        <v>172</v>
      </c>
      <c r="C84" s="102" t="s">
        <v>173</v>
      </c>
      <c r="D84" s="102" t="s">
        <v>174</v>
      </c>
      <c r="E84" s="102" t="s">
        <v>190</v>
      </c>
      <c r="F84" s="102" t="s">
        <v>191</v>
      </c>
      <c r="G84" s="102" t="s">
        <v>192</v>
      </c>
      <c r="H84" s="102" t="s">
        <v>193</v>
      </c>
      <c r="I84" s="125"/>
    </row>
    <row r="85" customFormat="false" ht="15.25" hidden="false" customHeight="false" outlineLevel="0" collapsed="false">
      <c r="A85" s="105" t="n">
        <v>3</v>
      </c>
      <c r="B85" s="105" t="n">
        <v>3</v>
      </c>
      <c r="C85" s="105" t="n">
        <v>3</v>
      </c>
      <c r="D85" s="105" t="n">
        <f aca="false">(A85+B85+C85)/3</f>
        <v>3</v>
      </c>
      <c r="E85" s="106" t="n">
        <v>1</v>
      </c>
      <c r="F85" s="107" t="n">
        <v>1</v>
      </c>
      <c r="G85" s="105" t="n">
        <f aca="false">(D85/12)*24</f>
        <v>6</v>
      </c>
      <c r="H85" s="105" t="n">
        <f aca="false">G85/4</f>
        <v>1.5</v>
      </c>
      <c r="I85" s="125"/>
    </row>
    <row r="86" customFormat="false" ht="15.25" hidden="false" customHeight="false" outlineLevel="0" collapsed="false">
      <c r="A86" s="105"/>
      <c r="B86" s="105"/>
      <c r="C86" s="105"/>
      <c r="D86" s="105"/>
      <c r="E86" s="106"/>
      <c r="F86" s="106"/>
      <c r="G86" s="105"/>
      <c r="H86" s="105"/>
      <c r="I86" s="125"/>
    </row>
    <row r="87" customFormat="false" ht="15.25" hidden="false" customHeight="false" outlineLevel="0" collapsed="false">
      <c r="A87" s="100" t="s">
        <v>209</v>
      </c>
      <c r="B87" s="100"/>
      <c r="C87" s="100"/>
      <c r="D87" s="100"/>
      <c r="E87" s="100"/>
      <c r="F87" s="100"/>
      <c r="G87" s="100"/>
      <c r="H87" s="100"/>
      <c r="I87" s="125"/>
    </row>
    <row r="88" customFormat="false" ht="15.25" hidden="false" customHeight="false" outlineLevel="0" collapsed="false">
      <c r="A88" s="102" t="s">
        <v>171</v>
      </c>
      <c r="B88" s="102" t="s">
        <v>172</v>
      </c>
      <c r="C88" s="102" t="s">
        <v>173</v>
      </c>
      <c r="D88" s="102" t="s">
        <v>174</v>
      </c>
      <c r="E88" s="102" t="s">
        <v>190</v>
      </c>
      <c r="F88" s="102" t="s">
        <v>191</v>
      </c>
      <c r="G88" s="102" t="s">
        <v>192</v>
      </c>
      <c r="H88" s="102" t="s">
        <v>193</v>
      </c>
      <c r="I88" s="125"/>
    </row>
    <row r="89" customFormat="false" ht="15.25" hidden="false" customHeight="false" outlineLevel="0" collapsed="false">
      <c r="A89" s="105" t="n">
        <v>32.4</v>
      </c>
      <c r="B89" s="105" t="n">
        <v>28.45</v>
      </c>
      <c r="C89" s="105" t="n">
        <v>39.06</v>
      </c>
      <c r="D89" s="105" t="n">
        <f aca="false">(A89+B89+C89)/3</f>
        <v>33.3033333333333</v>
      </c>
      <c r="E89" s="106" t="n">
        <v>1</v>
      </c>
      <c r="F89" s="107" t="n">
        <v>1</v>
      </c>
      <c r="G89" s="105" t="n">
        <f aca="false">(D89/F89)/12*12</f>
        <v>33.3033333333333</v>
      </c>
      <c r="H89" s="105" t="n">
        <f aca="false">G89/4</f>
        <v>8.32583333333333</v>
      </c>
      <c r="I89" s="125"/>
    </row>
    <row r="90" customFormat="false" ht="15.25" hidden="false" customHeight="false" outlineLevel="0" collapsed="false">
      <c r="A90" s="105"/>
      <c r="B90" s="105"/>
      <c r="C90" s="105"/>
      <c r="D90" s="105"/>
      <c r="E90" s="106"/>
      <c r="F90" s="107"/>
      <c r="G90" s="105"/>
      <c r="H90" s="105"/>
      <c r="I90" s="125"/>
    </row>
    <row r="91" customFormat="false" ht="15.25" hidden="false" customHeight="false" outlineLevel="0" collapsed="false">
      <c r="A91" s="100" t="s">
        <v>216</v>
      </c>
      <c r="B91" s="100"/>
      <c r="C91" s="100"/>
      <c r="D91" s="100"/>
      <c r="E91" s="100"/>
      <c r="F91" s="100"/>
      <c r="G91" s="100"/>
      <c r="H91" s="100"/>
      <c r="I91" s="125"/>
    </row>
    <row r="92" customFormat="false" ht="15.25" hidden="false" customHeight="false" outlineLevel="0" collapsed="false">
      <c r="A92" s="102" t="s">
        <v>171</v>
      </c>
      <c r="B92" s="102" t="s">
        <v>172</v>
      </c>
      <c r="C92" s="102" t="s">
        <v>173</v>
      </c>
      <c r="D92" s="102" t="s">
        <v>174</v>
      </c>
      <c r="E92" s="102" t="s">
        <v>190</v>
      </c>
      <c r="F92" s="103" t="s">
        <v>191</v>
      </c>
      <c r="G92" s="102" t="s">
        <v>192</v>
      </c>
      <c r="H92" s="102" t="s">
        <v>193</v>
      </c>
      <c r="I92" s="125"/>
    </row>
    <row r="93" customFormat="false" ht="15.25" hidden="false" customHeight="false" outlineLevel="0" collapsed="false">
      <c r="A93" s="105" t="n">
        <v>20</v>
      </c>
      <c r="B93" s="105" t="n">
        <v>20</v>
      </c>
      <c r="C93" s="105" t="n">
        <v>22</v>
      </c>
      <c r="D93" s="105" t="n">
        <f aca="false">(A93+B93+C93)/3</f>
        <v>20.6666666666667</v>
      </c>
      <c r="E93" s="106" t="n">
        <v>1</v>
      </c>
      <c r="F93" s="107" t="n">
        <v>1</v>
      </c>
      <c r="G93" s="105" t="n">
        <f aca="false">(D93/F93)/12*12</f>
        <v>20.6666666666667</v>
      </c>
      <c r="H93" s="105" t="n">
        <f aca="false">G93/4</f>
        <v>5.16666666666667</v>
      </c>
      <c r="I93" s="125"/>
    </row>
    <row r="94" customFormat="false" ht="15.25" hidden="false" customHeight="false" outlineLevel="0" collapsed="false">
      <c r="A94" s="105"/>
      <c r="B94" s="105"/>
      <c r="C94" s="105"/>
      <c r="D94" s="105"/>
      <c r="E94" s="106"/>
      <c r="F94" s="106"/>
      <c r="G94" s="105"/>
      <c r="H94" s="105"/>
      <c r="I94" s="125"/>
    </row>
    <row r="95" customFormat="false" ht="15.25" hidden="false" customHeight="false" outlineLevel="0" collapsed="false">
      <c r="A95" s="127" t="s">
        <v>260</v>
      </c>
      <c r="B95" s="127"/>
      <c r="C95" s="127"/>
      <c r="D95" s="127"/>
      <c r="E95" s="127"/>
      <c r="F95" s="127"/>
      <c r="G95" s="114" t="n">
        <f aca="false">(G5+G9+G13+G17+G21+G25+G29+G33+G37+G41+G45+G49+G53+G57+G61+G65+G69+G73+G77+G81+G85+G89+G93)-G17</f>
        <v>757.986333333333</v>
      </c>
      <c r="H95" s="114" t="n">
        <f aca="false">(H5+H9+H13+H17+H21+H25+H29+H33+H37+H41+H45+H49+H53+H57+H61+H65+H69+H73+H77+H81+H85+H89+H93)-H17</f>
        <v>189.496583333333</v>
      </c>
      <c r="I95" s="125"/>
    </row>
    <row r="96" customFormat="false" ht="15.25" hidden="false" customHeight="false" outlineLevel="0" collapsed="false">
      <c r="A96" s="134" t="s">
        <v>261</v>
      </c>
      <c r="B96" s="135"/>
      <c r="C96" s="135"/>
      <c r="D96" s="135"/>
      <c r="E96" s="135"/>
      <c r="F96" s="135"/>
      <c r="G96" s="136" t="n">
        <f aca="false">G17</f>
        <v>36.96</v>
      </c>
      <c r="H96" s="136" t="n">
        <f aca="false">H17</f>
        <v>9.24</v>
      </c>
      <c r="I96" s="125"/>
    </row>
    <row r="97" customFormat="false" ht="15.25" hidden="false" customHeight="false" outlineLevel="0" collapsed="false">
      <c r="A97" s="105"/>
      <c r="B97" s="105"/>
      <c r="C97" s="105"/>
      <c r="D97" s="105"/>
      <c r="E97" s="106"/>
      <c r="F97" s="107"/>
      <c r="G97" s="105"/>
      <c r="H97" s="105"/>
    </row>
    <row r="98" customFormat="false" ht="15.25" hidden="false" customHeight="false" outlineLevel="0" collapsed="false">
      <c r="A98" s="118" t="s">
        <v>262</v>
      </c>
      <c r="B98" s="118"/>
      <c r="C98" s="118"/>
      <c r="D98" s="118"/>
      <c r="E98" s="118"/>
      <c r="F98" s="118"/>
      <c r="G98" s="119" t="n">
        <f aca="false">(G5+G9+G13+G17+G21+G25+G29+G33+G37+G41+G45+G49)-G17</f>
        <v>69.4496666666666</v>
      </c>
      <c r="H98" s="119" t="n">
        <f aca="false">(H5+H9+H13+H17+H21+H25+H29+H33+H37+H41+H45+H49)-H17</f>
        <v>17.3624166666667</v>
      </c>
    </row>
    <row r="100" customFormat="false" ht="15.25" hidden="false" customHeight="false" outlineLevel="0" collapsed="false">
      <c r="A100" s="120" t="s">
        <v>263</v>
      </c>
      <c r="B100" s="120"/>
      <c r="C100" s="120"/>
      <c r="D100" s="120"/>
      <c r="E100" s="120"/>
      <c r="F100" s="120"/>
      <c r="G100" s="121" t="n">
        <f aca="false">(G53+G57+G61+G65+G69+G73+G77+G81+G85+G89+G93)</f>
        <v>688.536666666667</v>
      </c>
      <c r="H100" s="121" t="n">
        <f aca="false">(H53+H57+H61+H65+H69+H73+H77+H81+H85+H89+H93)</f>
        <v>172.134166666667</v>
      </c>
    </row>
    <row r="102" customFormat="false" ht="15.25" hidden="false" customHeight="false" outlineLevel="0" collapsed="false">
      <c r="A102" s="122" t="s">
        <v>264</v>
      </c>
      <c r="B102" s="122"/>
      <c r="C102" s="122"/>
      <c r="D102" s="122"/>
      <c r="E102" s="122"/>
      <c r="F102" s="122"/>
      <c r="G102" s="123" t="n">
        <v>600</v>
      </c>
      <c r="H102" s="123" t="n">
        <f aca="false">G102/4</f>
        <v>150</v>
      </c>
    </row>
    <row r="104" customFormat="false" ht="13.9" hidden="false" customHeight="true" outlineLevel="0" collapsed="false">
      <c r="A104" s="133" t="s">
        <v>265</v>
      </c>
      <c r="B104" s="133"/>
      <c r="C104" s="133"/>
      <c r="D104" s="133"/>
      <c r="E104" s="133"/>
      <c r="F104" s="133"/>
      <c r="G104" s="133"/>
      <c r="H104" s="133"/>
    </row>
    <row r="105" customFormat="false" ht="17.65" hidden="false" customHeight="true" outlineLevel="0" collapsed="false">
      <c r="A105" s="133"/>
      <c r="B105" s="133"/>
      <c r="C105" s="133"/>
      <c r="D105" s="133"/>
      <c r="E105" s="133"/>
      <c r="F105" s="133"/>
      <c r="G105" s="133"/>
      <c r="H105" s="133"/>
    </row>
  </sheetData>
  <mergeCells count="30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H59"/>
    <mergeCell ref="A63:H63"/>
    <mergeCell ref="A67:H67"/>
    <mergeCell ref="A71:H71"/>
    <mergeCell ref="A75:H75"/>
    <mergeCell ref="A79:H79"/>
    <mergeCell ref="A83:H83"/>
    <mergeCell ref="A87:H87"/>
    <mergeCell ref="A91:H91"/>
    <mergeCell ref="A95:F95"/>
    <mergeCell ref="A98:F98"/>
    <mergeCell ref="A100:F100"/>
    <mergeCell ref="A102:F102"/>
    <mergeCell ref="A104:H10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F127"/>
  <sheetViews>
    <sheetView windowProtection="false" showFormulas="false" showGridLines="false" showRowColHeaders="true" showZeros="true" rightToLeft="false" tabSelected="false" showOutlineSymbols="true" defaultGridColor="true" view="normal" topLeftCell="A28" colorId="64" zoomScale="75" zoomScaleNormal="75" zoomScalePageLayoutView="100" workbookViewId="0">
      <selection pane="topLeft" activeCell="D37" activeCellId="0" sqref="D37"/>
    </sheetView>
  </sheetViews>
  <sheetFormatPr defaultRowHeight="14.05"/>
  <cols>
    <col collapsed="false" hidden="false" max="1" min="1" style="0" width="3.32093023255814"/>
    <col collapsed="false" hidden="false" max="2" min="2" style="0" width="5.29302325581395"/>
    <col collapsed="false" hidden="false" max="3" min="3" style="0" width="60.7906976744186"/>
    <col collapsed="false" hidden="false" max="4" min="4" style="0" width="16.246511627907"/>
    <col collapsed="false" hidden="false" max="5" min="5" style="0" width="19.6883720930233"/>
    <col collapsed="false" hidden="false" max="6" min="6" style="0" width="13.906976744186"/>
    <col collapsed="false" hidden="false" max="1025" min="7" style="0" width="8.36744186046512"/>
  </cols>
  <sheetData>
    <row r="3" customFormat="false" ht="14.05" hidden="false" customHeight="false" outlineLevel="0" collapsed="false">
      <c r="B3" s="2" t="s">
        <v>0</v>
      </c>
      <c r="C3" s="2"/>
      <c r="D3" s="2"/>
      <c r="E3" s="2"/>
    </row>
    <row r="4" customFormat="false" ht="14.05" hidden="false" customHeight="false" outlineLevel="0" collapsed="false">
      <c r="B4" s="2"/>
      <c r="C4" s="2"/>
      <c r="D4" s="2"/>
      <c r="E4" s="2"/>
    </row>
    <row r="5" customFormat="false" ht="14.05" hidden="false" customHeight="false" outlineLevel="0" collapsed="false">
      <c r="B5" s="2"/>
      <c r="C5" s="2"/>
      <c r="D5" s="2"/>
      <c r="E5" s="2"/>
    </row>
    <row r="6" customFormat="false" ht="15.25" hidden="false" customHeight="false" outlineLevel="0" collapsed="false">
      <c r="B6" s="4" t="s">
        <v>1</v>
      </c>
      <c r="C6" s="4"/>
      <c r="D6" s="5"/>
      <c r="E6" s="5"/>
    </row>
    <row r="7" customFormat="false" ht="15.25" hidden="false" customHeight="false" outlineLevel="0" collapsed="false">
      <c r="B7" s="4" t="s">
        <v>2</v>
      </c>
      <c r="C7" s="4"/>
      <c r="D7" s="5"/>
      <c r="E7" s="5"/>
    </row>
    <row r="8" customFormat="false" ht="15.25" hidden="false" customHeight="false" outlineLevel="0" collapsed="false">
      <c r="B8" s="4" t="s">
        <v>3</v>
      </c>
      <c r="C8" s="4"/>
      <c r="D8" s="5"/>
      <c r="E8" s="5"/>
    </row>
    <row r="9" customFormat="false" ht="15.25" hidden="false" customHeight="false" outlineLevel="0" collapsed="false">
      <c r="B9" s="4" t="s">
        <v>4</v>
      </c>
      <c r="C9" s="4"/>
      <c r="D9" s="5"/>
      <c r="E9" s="5"/>
    </row>
    <row r="10" customFormat="false" ht="15.25" hidden="false" customHeight="false" outlineLevel="0" collapsed="false">
      <c r="B10" s="2" t="s">
        <v>5</v>
      </c>
      <c r="C10" s="2"/>
      <c r="D10" s="2"/>
      <c r="E10" s="2"/>
    </row>
    <row r="11" customFormat="false" ht="15.25" hidden="false" customHeight="false" outlineLevel="0" collapsed="false">
      <c r="B11" s="6" t="s">
        <v>6</v>
      </c>
      <c r="C11" s="6" t="s">
        <v>7</v>
      </c>
      <c r="D11" s="5"/>
      <c r="E11" s="5"/>
    </row>
    <row r="12" customFormat="false" ht="15.25" hidden="false" customHeight="false" outlineLevel="0" collapsed="false">
      <c r="B12" s="6" t="s">
        <v>8</v>
      </c>
      <c r="C12" s="6" t="s">
        <v>9</v>
      </c>
      <c r="D12" s="2" t="s">
        <v>143</v>
      </c>
      <c r="E12" s="2"/>
    </row>
    <row r="13" customFormat="false" ht="15.25" hidden="false" customHeight="false" outlineLevel="0" collapsed="false">
      <c r="B13" s="6" t="s">
        <v>11</v>
      </c>
      <c r="C13" s="7" t="s">
        <v>12</v>
      </c>
      <c r="D13" s="2" t="s">
        <v>13</v>
      </c>
      <c r="E13" s="2"/>
    </row>
    <row r="14" customFormat="false" ht="15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</row>
    <row r="15" customFormat="false" ht="15.25" hidden="false" customHeight="false" outlineLevel="0" collapsed="false">
      <c r="B15" s="2" t="s">
        <v>16</v>
      </c>
      <c r="C15" s="2"/>
      <c r="D15" s="2"/>
      <c r="E15" s="2"/>
    </row>
    <row r="16" customFormat="false" ht="55.45" hidden="false" customHeight="true" outlineLevel="0" collapsed="false">
      <c r="B16" s="9" t="s">
        <v>17</v>
      </c>
      <c r="C16" s="9"/>
      <c r="D16" s="9" t="s">
        <v>18</v>
      </c>
      <c r="E16" s="9" t="s">
        <v>19</v>
      </c>
    </row>
    <row r="17" customFormat="false" ht="15.25" hidden="false" customHeight="false" outlineLevel="0" collapsed="false">
      <c r="B17" s="2" t="s">
        <v>20</v>
      </c>
      <c r="C17" s="2"/>
      <c r="D17" s="6" t="s">
        <v>21</v>
      </c>
      <c r="E17" s="2" t="n">
        <v>1</v>
      </c>
    </row>
    <row r="18" customFormat="false" ht="15.25" hidden="false" customHeight="false" outlineLevel="0" collapsed="false">
      <c r="B18" s="2" t="s">
        <v>22</v>
      </c>
      <c r="C18" s="2"/>
      <c r="D18" s="2"/>
      <c r="E18" s="2"/>
    </row>
    <row r="19" customFormat="false" ht="14.9" hidden="false" customHeight="false" outlineLevel="0" collapsed="false">
      <c r="B19" s="2" t="s">
        <v>23</v>
      </c>
      <c r="C19" s="2"/>
      <c r="D19" s="2"/>
      <c r="E19" s="2"/>
    </row>
    <row r="20" customFormat="false" ht="15.25" hidden="false" customHeight="false" outlineLevel="0" collapsed="false">
      <c r="B20" s="10" t="n">
        <v>1</v>
      </c>
      <c r="C20" s="6" t="s">
        <v>24</v>
      </c>
      <c r="D20" s="11" t="s">
        <v>144</v>
      </c>
      <c r="E20" s="11"/>
    </row>
    <row r="21" customFormat="false" ht="15.25" hidden="false" customHeight="false" outlineLevel="0" collapsed="false">
      <c r="B21" s="10" t="n">
        <v>2</v>
      </c>
      <c r="C21" s="6" t="s">
        <v>26</v>
      </c>
      <c r="D21" s="12" t="n">
        <v>1602.86</v>
      </c>
      <c r="E21" s="12"/>
    </row>
    <row r="22" customFormat="false" ht="15.25" hidden="false" customHeight="false" outlineLevel="0" collapsed="false">
      <c r="B22" s="10" t="n">
        <v>3</v>
      </c>
      <c r="C22" s="6" t="s">
        <v>27</v>
      </c>
      <c r="D22" s="11" t="s">
        <v>144</v>
      </c>
      <c r="E22" s="11"/>
    </row>
    <row r="23" customFormat="false" ht="15.25" hidden="false" customHeight="false" outlineLevel="0" collapsed="false">
      <c r="B23" s="10" t="n">
        <v>4</v>
      </c>
      <c r="C23" s="6" t="s">
        <v>28</v>
      </c>
      <c r="D23" s="13" t="n">
        <v>42736</v>
      </c>
      <c r="E23" s="13"/>
    </row>
    <row r="24" customFormat="false" ht="15.25" hidden="false" customHeight="false" outlineLevel="0" collapsed="false">
      <c r="B24" s="2" t="s">
        <v>29</v>
      </c>
      <c r="C24" s="2"/>
      <c r="D24" s="2"/>
      <c r="E24" s="2"/>
    </row>
    <row r="25" customFormat="false" ht="15.25" hidden="false" customHeight="false" outlineLevel="0" collapsed="false">
      <c r="B25" s="2" t="n">
        <v>1</v>
      </c>
      <c r="C25" s="2" t="s">
        <v>30</v>
      </c>
      <c r="D25" s="10" t="s">
        <v>31</v>
      </c>
      <c r="E25" s="14" t="s">
        <v>32</v>
      </c>
    </row>
    <row r="26" customFormat="false" ht="15.25" hidden="false" customHeight="false" outlineLevel="0" collapsed="false">
      <c r="B26" s="10" t="s">
        <v>6</v>
      </c>
      <c r="C26" s="6" t="s">
        <v>33</v>
      </c>
      <c r="D26" s="6"/>
      <c r="E26" s="74" t="n">
        <f aca="false">D21</f>
        <v>1602.86</v>
      </c>
    </row>
    <row r="27" customFormat="false" ht="15.25" hidden="false" customHeight="false" outlineLevel="0" collapsed="false">
      <c r="B27" s="10" t="s">
        <v>8</v>
      </c>
      <c r="C27" s="6" t="s">
        <v>34</v>
      </c>
      <c r="D27" s="17" t="n">
        <v>0.3</v>
      </c>
      <c r="E27" s="74" t="n">
        <f aca="false">E26*0.3</f>
        <v>480.858</v>
      </c>
    </row>
    <row r="28" customFormat="false" ht="15.25" hidden="false" customHeight="false" outlineLevel="0" collapsed="false">
      <c r="B28" s="10" t="s">
        <v>11</v>
      </c>
      <c r="C28" s="6" t="s">
        <v>35</v>
      </c>
      <c r="D28" s="17" t="n">
        <v>0.6</v>
      </c>
      <c r="E28" s="74" t="n">
        <f aca="false">(E26+E27)/220*1.6*15</f>
        <v>227.314690909091</v>
      </c>
    </row>
    <row r="29" customFormat="false" ht="15.25" hidden="false" customHeight="false" outlineLevel="0" collapsed="false">
      <c r="B29" s="10" t="s">
        <v>14</v>
      </c>
      <c r="C29" s="6" t="s">
        <v>36</v>
      </c>
      <c r="D29" s="17"/>
      <c r="E29" s="74"/>
    </row>
    <row r="30" customFormat="false" ht="15.25" hidden="false" customHeight="false" outlineLevel="0" collapsed="false">
      <c r="B30" s="10" t="s">
        <v>37</v>
      </c>
      <c r="C30" s="6" t="s">
        <v>38</v>
      </c>
      <c r="D30" s="6" t="n">
        <v>16</v>
      </c>
      <c r="E30" s="74" t="n">
        <f aca="false">(E26+E27)*2/220*8</f>
        <v>151.543127272727</v>
      </c>
    </row>
    <row r="31" customFormat="false" ht="15.25" hidden="false" customHeight="false" outlineLevel="0" collapsed="false">
      <c r="B31" s="10" t="s">
        <v>39</v>
      </c>
      <c r="C31" s="6" t="s">
        <v>40</v>
      </c>
      <c r="D31" s="19"/>
      <c r="E31" s="74" t="n">
        <f aca="false">(E28+E29+E30)*5/25</f>
        <v>75.7715636363636</v>
      </c>
    </row>
    <row r="32" customFormat="false" ht="15.25" hidden="false" customHeight="false" outlineLevel="0" collapsed="false">
      <c r="B32" s="20" t="s">
        <v>41</v>
      </c>
      <c r="C32" s="20"/>
      <c r="D32" s="20"/>
      <c r="E32" s="75" t="n">
        <f aca="false">SUM(E26:E31)</f>
        <v>2538.34738181818</v>
      </c>
    </row>
    <row r="33" customFormat="false" ht="15.25" hidden="false" customHeight="false" outlineLevel="0" collapsed="false">
      <c r="B33" s="2" t="s">
        <v>42</v>
      </c>
      <c r="C33" s="2"/>
      <c r="D33" s="2"/>
      <c r="E33" s="2"/>
    </row>
    <row r="34" customFormat="false" ht="15.25" hidden="false" customHeight="false" outlineLevel="0" collapsed="false">
      <c r="B34" s="2" t="n">
        <v>2</v>
      </c>
      <c r="C34" s="2" t="s">
        <v>43</v>
      </c>
      <c r="D34" s="10"/>
      <c r="E34" s="2" t="s">
        <v>32</v>
      </c>
    </row>
    <row r="35" customFormat="false" ht="15.25" hidden="false" customHeight="false" outlineLevel="0" collapsed="false">
      <c r="B35" s="10" t="s">
        <v>6</v>
      </c>
      <c r="C35" s="6" t="s">
        <v>44</v>
      </c>
      <c r="D35" s="23"/>
      <c r="E35" s="24" t="n">
        <f aca="false">'Equipamentos Campus JK (Moto)'!H107</f>
        <v>160.714285714286</v>
      </c>
    </row>
    <row r="36" customFormat="false" ht="15.25" hidden="false" customHeight="false" outlineLevel="0" collapsed="false">
      <c r="B36" s="10" t="s">
        <v>8</v>
      </c>
      <c r="C36" s="6" t="s">
        <v>45</v>
      </c>
      <c r="D36" s="23" t="n">
        <v>15.99</v>
      </c>
      <c r="E36" s="24" t="n">
        <f aca="false">D36*0.9*15</f>
        <v>215.865</v>
      </c>
    </row>
    <row r="37" customFormat="false" ht="15.25" hidden="false" customHeight="false" outlineLevel="0" collapsed="false">
      <c r="B37" s="10" t="s">
        <v>11</v>
      </c>
      <c r="C37" s="6" t="s">
        <v>46</v>
      </c>
      <c r="D37" s="23"/>
      <c r="E37" s="23" t="n">
        <v>112.9</v>
      </c>
    </row>
    <row r="38" customFormat="false" ht="15.25" hidden="false" customHeight="false" outlineLevel="0" collapsed="false">
      <c r="B38" s="10" t="s">
        <v>14</v>
      </c>
      <c r="C38" s="6" t="s">
        <v>47</v>
      </c>
      <c r="D38" s="6"/>
      <c r="E38" s="23" t="n">
        <v>91.08</v>
      </c>
    </row>
    <row r="39" customFormat="false" ht="15.25" hidden="false" customHeight="false" outlineLevel="0" collapsed="false">
      <c r="B39" s="10" t="s">
        <v>37</v>
      </c>
      <c r="C39" s="6" t="s">
        <v>48</v>
      </c>
      <c r="D39" s="23"/>
      <c r="E39" s="23" t="n">
        <f aca="false">'Média Insumos e benefícios'!E6</f>
        <v>19.0666666666667</v>
      </c>
    </row>
    <row r="40" customFormat="false" ht="15.25" hidden="false" customHeight="false" outlineLevel="0" collapsed="false">
      <c r="B40" s="10" t="s">
        <v>39</v>
      </c>
      <c r="C40" s="6" t="s">
        <v>49</v>
      </c>
      <c r="D40" s="23"/>
      <c r="E40" s="23"/>
    </row>
    <row r="41" customFormat="false" ht="15.25" hidden="false" customHeight="false" outlineLevel="0" collapsed="false">
      <c r="B41" s="20" t="s">
        <v>50</v>
      </c>
      <c r="C41" s="20"/>
      <c r="D41" s="20"/>
      <c r="E41" s="21" t="n">
        <f aca="false">SUM(E35:E40)</f>
        <v>599.625952380953</v>
      </c>
    </row>
    <row r="42" customFormat="false" ht="18.6" hidden="false" customHeight="true" outlineLevel="0" collapsed="false">
      <c r="B42" s="2" t="s">
        <v>51</v>
      </c>
      <c r="C42" s="2"/>
      <c r="D42" s="2"/>
      <c r="E42" s="2"/>
    </row>
    <row r="43" customFormat="false" ht="15.25" hidden="false" customHeight="false" outlineLevel="0" collapsed="false">
      <c r="B43" s="2" t="n">
        <v>3</v>
      </c>
      <c r="C43" s="2" t="s">
        <v>52</v>
      </c>
      <c r="D43" s="10" t="s">
        <v>31</v>
      </c>
      <c r="E43" s="2" t="s">
        <v>32</v>
      </c>
    </row>
    <row r="44" customFormat="false" ht="15.25" hidden="false" customHeight="false" outlineLevel="0" collapsed="false">
      <c r="B44" s="10" t="s">
        <v>6</v>
      </c>
      <c r="C44" s="6" t="s">
        <v>53</v>
      </c>
      <c r="D44" s="6"/>
      <c r="E44" s="23" t="n">
        <f aca="false">'Equipamentos Campus JK (Moto)'!H105</f>
        <v>349.891666666667</v>
      </c>
    </row>
    <row r="45" customFormat="false" ht="15.25" hidden="false" customHeight="false" outlineLevel="0" collapsed="false">
      <c r="B45" s="10" t="s">
        <v>8</v>
      </c>
      <c r="C45" s="6" t="s">
        <v>54</v>
      </c>
      <c r="D45" s="6"/>
      <c r="E45" s="23" t="n">
        <f aca="false">'Equipamentos Campus JK (Moto)'!H103</f>
        <v>16.7999485055231</v>
      </c>
    </row>
    <row r="46" customFormat="false" ht="15.25" hidden="false" customHeight="false" outlineLevel="0" collapsed="false">
      <c r="B46" s="10" t="s">
        <v>11</v>
      </c>
      <c r="C46" s="6" t="s">
        <v>55</v>
      </c>
      <c r="D46" s="6"/>
      <c r="E46" s="23" t="s">
        <v>145</v>
      </c>
    </row>
    <row r="47" customFormat="false" ht="15.25" hidden="false" customHeight="false" outlineLevel="0" collapsed="false">
      <c r="B47" s="10" t="s">
        <v>14</v>
      </c>
      <c r="C47" s="6" t="s">
        <v>56</v>
      </c>
      <c r="D47" s="6"/>
      <c r="E47" s="23" t="n">
        <v>4</v>
      </c>
    </row>
    <row r="48" customFormat="false" ht="15.25" hidden="false" customHeight="false" outlineLevel="0" collapsed="false">
      <c r="B48" s="10" t="s">
        <v>37</v>
      </c>
      <c r="C48" s="6" t="s">
        <v>146</v>
      </c>
      <c r="D48" s="6"/>
      <c r="E48" s="23" t="n">
        <f aca="false">'Equipamentos Campus JK (Moto)'!H95</f>
        <v>56.3020833333333</v>
      </c>
    </row>
    <row r="49" customFormat="false" ht="15.25" hidden="false" customHeight="false" outlineLevel="0" collapsed="false">
      <c r="B49" s="10" t="s">
        <v>39</v>
      </c>
      <c r="C49" s="6" t="s">
        <v>57</v>
      </c>
      <c r="D49" s="6"/>
      <c r="E49" s="23" t="n">
        <f aca="false">'Média Insumos e benefícios'!K6</f>
        <v>128.666666666667</v>
      </c>
    </row>
    <row r="50" customFormat="false" ht="15.25" hidden="false" customHeight="false" outlineLevel="0" collapsed="false">
      <c r="B50" s="10" t="s">
        <v>69</v>
      </c>
      <c r="C50" s="6" t="s">
        <v>147</v>
      </c>
      <c r="D50" s="6"/>
      <c r="E50" s="23" t="n">
        <f aca="false">'Equipamentos Campus JK (Moto)'!H99</f>
        <v>154.125</v>
      </c>
    </row>
    <row r="51" customFormat="false" ht="15.25" hidden="false" customHeight="false" outlineLevel="0" collapsed="false">
      <c r="B51" s="20" t="s">
        <v>58</v>
      </c>
      <c r="C51" s="20"/>
      <c r="D51" s="20"/>
      <c r="E51" s="33" t="n">
        <f aca="false">SUM(E44:E50)</f>
        <v>709.78536517219</v>
      </c>
    </row>
    <row r="52" customFormat="false" ht="15.25" hidden="false" customHeight="false" outlineLevel="0" collapsed="false">
      <c r="B52" s="2" t="s">
        <v>59</v>
      </c>
      <c r="C52" s="2"/>
      <c r="D52" s="2"/>
      <c r="E52" s="2"/>
    </row>
    <row r="53" customFormat="false" ht="15.25" hidden="false" customHeight="false" outlineLevel="0" collapsed="false">
      <c r="B53" s="34" t="s">
        <v>60</v>
      </c>
      <c r="C53" s="34"/>
      <c r="D53" s="34"/>
      <c r="E53" s="34"/>
    </row>
    <row r="54" customFormat="false" ht="15.25" hidden="false" customHeight="false" outlineLevel="0" collapsed="false">
      <c r="B54" s="2" t="s">
        <v>61</v>
      </c>
      <c r="C54" s="2" t="s">
        <v>62</v>
      </c>
      <c r="D54" s="10" t="s">
        <v>31</v>
      </c>
      <c r="E54" s="2" t="s">
        <v>32</v>
      </c>
    </row>
    <row r="55" customFormat="false" ht="15.25" hidden="false" customHeight="false" outlineLevel="0" collapsed="false">
      <c r="B55" s="10" t="s">
        <v>6</v>
      </c>
      <c r="C55" s="6" t="s">
        <v>63</v>
      </c>
      <c r="D55" s="35" t="n">
        <v>0.2</v>
      </c>
      <c r="E55" s="24" t="n">
        <f aca="false">$E$32*D55</f>
        <v>507.669476363636</v>
      </c>
    </row>
    <row r="56" customFormat="false" ht="15.25" hidden="false" customHeight="false" outlineLevel="0" collapsed="false">
      <c r="B56" s="10" t="s">
        <v>8</v>
      </c>
      <c r="C56" s="6" t="s">
        <v>64</v>
      </c>
      <c r="D56" s="35" t="n">
        <v>0.015</v>
      </c>
      <c r="E56" s="24" t="n">
        <f aca="false">$E$32*D56</f>
        <v>38.0752107272727</v>
      </c>
    </row>
    <row r="57" customFormat="false" ht="15.25" hidden="false" customHeight="false" outlineLevel="0" collapsed="false">
      <c r="B57" s="10" t="s">
        <v>11</v>
      </c>
      <c r="C57" s="6" t="s">
        <v>65</v>
      </c>
      <c r="D57" s="35" t="n">
        <v>0.01</v>
      </c>
      <c r="E57" s="24" t="n">
        <f aca="false">$E$32*D57</f>
        <v>25.3834738181818</v>
      </c>
    </row>
    <row r="58" customFormat="false" ht="15.25" hidden="false" customHeight="false" outlineLevel="0" collapsed="false">
      <c r="B58" s="10" t="s">
        <v>14</v>
      </c>
      <c r="C58" s="6" t="s">
        <v>66</v>
      </c>
      <c r="D58" s="35" t="n">
        <v>0.002</v>
      </c>
      <c r="E58" s="24" t="n">
        <f aca="false">$E$32*D58</f>
        <v>5.07669476363636</v>
      </c>
    </row>
    <row r="59" customFormat="false" ht="15.25" hidden="false" customHeight="false" outlineLevel="0" collapsed="false">
      <c r="B59" s="10" t="s">
        <v>37</v>
      </c>
      <c r="C59" s="6" t="s">
        <v>67</v>
      </c>
      <c r="D59" s="35" t="n">
        <v>0.025</v>
      </c>
      <c r="E59" s="24" t="n">
        <f aca="false">$E$32*D59</f>
        <v>63.4586845454546</v>
      </c>
    </row>
    <row r="60" customFormat="false" ht="15.25" hidden="false" customHeight="false" outlineLevel="0" collapsed="false">
      <c r="B60" s="10" t="s">
        <v>39</v>
      </c>
      <c r="C60" s="6" t="s">
        <v>68</v>
      </c>
      <c r="D60" s="35" t="n">
        <v>0.08</v>
      </c>
      <c r="E60" s="24" t="n">
        <f aca="false">$E$32*D60</f>
        <v>203.067790545455</v>
      </c>
    </row>
    <row r="61" customFormat="false" ht="15.25" hidden="false" customHeight="false" outlineLevel="0" collapsed="false">
      <c r="B61" s="10" t="s">
        <v>69</v>
      </c>
      <c r="C61" s="6" t="s">
        <v>70</v>
      </c>
      <c r="D61" s="35" t="n">
        <v>0.03</v>
      </c>
      <c r="E61" s="24" t="n">
        <f aca="false">$E$32*D61</f>
        <v>76.1504214545455</v>
      </c>
    </row>
    <row r="62" customFormat="false" ht="15.25" hidden="false" customHeight="false" outlineLevel="0" collapsed="false">
      <c r="B62" s="10" t="s">
        <v>71</v>
      </c>
      <c r="C62" s="6" t="s">
        <v>72</v>
      </c>
      <c r="D62" s="35" t="n">
        <v>0.006</v>
      </c>
      <c r="E62" s="24" t="n">
        <f aca="false">$E$32*D62</f>
        <v>15.2300842909091</v>
      </c>
    </row>
    <row r="63" customFormat="false" ht="15.25" hidden="false" customHeight="false" outlineLevel="0" collapsed="false">
      <c r="B63" s="20" t="s">
        <v>73</v>
      </c>
      <c r="C63" s="20"/>
      <c r="D63" s="38" t="n">
        <v>0.368</v>
      </c>
      <c r="E63" s="21" t="n">
        <f aca="false">$E$32*D63</f>
        <v>934.111836509091</v>
      </c>
    </row>
    <row r="64" customFormat="false" ht="17.65" hidden="false" customHeight="true" outlineLevel="0" collapsed="false">
      <c r="B64" s="34" t="s">
        <v>74</v>
      </c>
      <c r="C64" s="34"/>
      <c r="D64" s="34"/>
      <c r="E64" s="34"/>
    </row>
    <row r="65" customFormat="false" ht="15.65" hidden="false" customHeight="false" outlineLevel="0" collapsed="false">
      <c r="B65" s="2" t="s">
        <v>75</v>
      </c>
      <c r="C65" s="34" t="s">
        <v>76</v>
      </c>
      <c r="D65" s="10" t="s">
        <v>31</v>
      </c>
      <c r="E65" s="2" t="s">
        <v>32</v>
      </c>
    </row>
    <row r="66" customFormat="false" ht="15.25" hidden="false" customHeight="false" outlineLevel="0" collapsed="false">
      <c r="B66" s="10" t="s">
        <v>6</v>
      </c>
      <c r="C66" s="6" t="s">
        <v>77</v>
      </c>
      <c r="D66" s="41" t="n">
        <v>0.0833</v>
      </c>
      <c r="E66" s="24" t="n">
        <f aca="false">$E$32*D66</f>
        <v>211.444336905455</v>
      </c>
    </row>
    <row r="67" customFormat="false" ht="15.25" hidden="false" customHeight="false" outlineLevel="0" collapsed="false">
      <c r="B67" s="10" t="s">
        <v>8</v>
      </c>
      <c r="C67" s="7" t="s">
        <v>78</v>
      </c>
      <c r="D67" s="41" t="n">
        <f aca="false">D66*D63</f>
        <v>0.0306544</v>
      </c>
      <c r="E67" s="24" t="n">
        <f aca="false">$E$32*D67</f>
        <v>77.8115159812073</v>
      </c>
    </row>
    <row r="68" customFormat="false" ht="15.25" hidden="false" customHeight="false" outlineLevel="0" collapsed="false">
      <c r="B68" s="20" t="s">
        <v>73</v>
      </c>
      <c r="C68" s="20"/>
      <c r="D68" s="41" t="n">
        <v>0.1139544</v>
      </c>
      <c r="E68" s="21" t="n">
        <f aca="false">$E$32*D68</f>
        <v>289.255852886662</v>
      </c>
    </row>
    <row r="69" customFormat="false" ht="15.25" hidden="false" customHeight="false" outlineLevel="0" collapsed="false">
      <c r="B69" s="34" t="s">
        <v>79</v>
      </c>
      <c r="C69" s="34"/>
      <c r="D69" s="34"/>
      <c r="E69" s="34"/>
    </row>
    <row r="70" customFormat="false" ht="15.25" hidden="false" customHeight="false" outlineLevel="0" collapsed="false">
      <c r="B70" s="2" t="s">
        <v>80</v>
      </c>
      <c r="C70" s="2" t="s">
        <v>81</v>
      </c>
      <c r="D70" s="10" t="s">
        <v>31</v>
      </c>
      <c r="E70" s="2" t="s">
        <v>32</v>
      </c>
    </row>
    <row r="71" customFormat="false" ht="15.25" hidden="false" customHeight="false" outlineLevel="0" collapsed="false">
      <c r="B71" s="10" t="s">
        <v>6</v>
      </c>
      <c r="C71" s="6" t="s">
        <v>81</v>
      </c>
      <c r="D71" s="44" t="n">
        <v>0.00074</v>
      </c>
      <c r="E71" s="24" t="n">
        <f aca="false">$E$32*D71</f>
        <v>1.87837706254545</v>
      </c>
    </row>
    <row r="72" customFormat="false" ht="15.25" hidden="false" customHeight="false" outlineLevel="0" collapsed="false">
      <c r="B72" s="10" t="s">
        <v>8</v>
      </c>
      <c r="C72" s="7" t="s">
        <v>82</v>
      </c>
      <c r="D72" s="44" t="n">
        <f aca="false">D71*D63</f>
        <v>0.00027232</v>
      </c>
      <c r="E72" s="24" t="n">
        <f aca="false">$E$32*D72</f>
        <v>0.691242759016727</v>
      </c>
    </row>
    <row r="73" customFormat="false" ht="15.25" hidden="false" customHeight="false" outlineLevel="0" collapsed="false">
      <c r="B73" s="20" t="s">
        <v>73</v>
      </c>
      <c r="C73" s="20"/>
      <c r="D73" s="46" t="n">
        <v>0.00104</v>
      </c>
      <c r="E73" s="21" t="n">
        <f aca="false">$E$32*D73</f>
        <v>2.63988127709091</v>
      </c>
    </row>
    <row r="74" customFormat="false" ht="15.25" hidden="false" customHeight="false" outlineLevel="0" collapsed="false">
      <c r="B74" s="34" t="s">
        <v>83</v>
      </c>
      <c r="C74" s="34"/>
      <c r="D74" s="34"/>
      <c r="E74" s="34"/>
    </row>
    <row r="75" customFormat="false" ht="15.25" hidden="false" customHeight="false" outlineLevel="0" collapsed="false">
      <c r="B75" s="2" t="s">
        <v>84</v>
      </c>
      <c r="C75" s="2" t="s">
        <v>85</v>
      </c>
      <c r="D75" s="10" t="s">
        <v>31</v>
      </c>
      <c r="E75" s="2" t="s">
        <v>32</v>
      </c>
    </row>
    <row r="76" customFormat="false" ht="15.25" hidden="false" customHeight="false" outlineLevel="0" collapsed="false">
      <c r="B76" s="10" t="s">
        <v>6</v>
      </c>
      <c r="C76" s="6" t="s">
        <v>86</v>
      </c>
      <c r="D76" s="41" t="n">
        <v>0.00416666666666667</v>
      </c>
      <c r="E76" s="24" t="n">
        <f aca="false">$E$32*D76</f>
        <v>10.5764474242424</v>
      </c>
    </row>
    <row r="77" customFormat="false" ht="15.25" hidden="false" customHeight="false" outlineLevel="0" collapsed="false">
      <c r="B77" s="10" t="s">
        <v>8</v>
      </c>
      <c r="C77" s="7" t="s">
        <v>87</v>
      </c>
      <c r="D77" s="41" t="n">
        <v>0.000333333333333333</v>
      </c>
      <c r="E77" s="24" t="n">
        <f aca="false">$E$32*D77</f>
        <v>0.846115793939393</v>
      </c>
    </row>
    <row r="78" customFormat="false" ht="15.25" hidden="false" customHeight="false" outlineLevel="0" collapsed="false">
      <c r="B78" s="10" t="s">
        <v>11</v>
      </c>
      <c r="C78" s="6" t="s">
        <v>88</v>
      </c>
      <c r="D78" s="41" t="n">
        <v>0.043</v>
      </c>
      <c r="E78" s="24" t="n">
        <f aca="false">$E$32*D78</f>
        <v>109.148937418182</v>
      </c>
    </row>
    <row r="79" customFormat="false" ht="15.25" hidden="false" customHeight="false" outlineLevel="0" collapsed="false">
      <c r="B79" s="10" t="s">
        <v>14</v>
      </c>
      <c r="C79" s="6" t="s">
        <v>89</v>
      </c>
      <c r="D79" s="47" t="n">
        <v>0.0194444444444444</v>
      </c>
      <c r="E79" s="24" t="n">
        <f aca="false">$E$32*D79</f>
        <v>49.3567546464645</v>
      </c>
    </row>
    <row r="80" customFormat="false" ht="15.25" hidden="false" customHeight="false" outlineLevel="0" collapsed="false">
      <c r="B80" s="10" t="s">
        <v>37</v>
      </c>
      <c r="C80" s="7" t="s">
        <v>90</v>
      </c>
      <c r="D80" s="41" t="n">
        <v>0.00715555555555556</v>
      </c>
      <c r="E80" s="24" t="n">
        <f aca="false">$E$32*D80</f>
        <v>18.163285709899</v>
      </c>
    </row>
    <row r="81" customFormat="false" ht="15.25" hidden="false" customHeight="false" outlineLevel="0" collapsed="false">
      <c r="B81" s="10" t="s">
        <v>39</v>
      </c>
      <c r="C81" s="6" t="s">
        <v>91</v>
      </c>
      <c r="D81" s="41" t="n">
        <v>0.000776</v>
      </c>
      <c r="E81" s="24" t="n">
        <f aca="false">$E$32*D81</f>
        <v>1.96975756829091</v>
      </c>
    </row>
    <row r="82" customFormat="false" ht="18.6" hidden="false" customHeight="true" outlineLevel="0" collapsed="false">
      <c r="B82" s="20" t="s">
        <v>73</v>
      </c>
      <c r="C82" s="20"/>
      <c r="D82" s="41" t="n">
        <v>0.074876</v>
      </c>
      <c r="E82" s="21" t="n">
        <f aca="false">$E$32*D82</f>
        <v>190.061298561018</v>
      </c>
    </row>
    <row r="83" customFormat="false" ht="18.6" hidden="false" customHeight="true" outlineLevel="0" collapsed="false">
      <c r="B83" s="34" t="s">
        <v>92</v>
      </c>
      <c r="C83" s="34"/>
      <c r="D83" s="34"/>
      <c r="E83" s="34"/>
    </row>
    <row r="84" customFormat="false" ht="15.25" hidden="false" customHeight="false" outlineLevel="0" collapsed="false">
      <c r="B84" s="2" t="s">
        <v>93</v>
      </c>
      <c r="C84" s="14" t="s">
        <v>94</v>
      </c>
      <c r="D84" s="48" t="s">
        <v>31</v>
      </c>
      <c r="E84" s="2" t="s">
        <v>32</v>
      </c>
    </row>
    <row r="85" customFormat="false" ht="15.25" hidden="false" customHeight="false" outlineLevel="0" collapsed="false">
      <c r="B85" s="10" t="s">
        <v>6</v>
      </c>
      <c r="C85" s="6" t="s">
        <v>95</v>
      </c>
      <c r="D85" s="49" t="n">
        <v>0.1111</v>
      </c>
      <c r="E85" s="24" t="n">
        <f aca="false">$E$32*D85</f>
        <v>282.01039412</v>
      </c>
    </row>
    <row r="86" customFormat="false" ht="15.25" hidden="false" customHeight="false" outlineLevel="0" collapsed="false">
      <c r="B86" s="10" t="s">
        <v>8</v>
      </c>
      <c r="C86" s="6" t="s">
        <v>96</v>
      </c>
      <c r="D86" s="49" t="n">
        <v>0.0166</v>
      </c>
      <c r="E86" s="24" t="n">
        <f aca="false">$E$32*D86</f>
        <v>42.1365665381818</v>
      </c>
    </row>
    <row r="87" customFormat="false" ht="15.25" hidden="false" customHeight="false" outlineLevel="0" collapsed="false">
      <c r="B87" s="10" t="s">
        <v>11</v>
      </c>
      <c r="C87" s="6" t="s">
        <v>97</v>
      </c>
      <c r="D87" s="49" t="n">
        <v>0.0002</v>
      </c>
      <c r="E87" s="24" t="n">
        <f aca="false">$E$32*D87</f>
        <v>0.507669476363636</v>
      </c>
    </row>
    <row r="88" customFormat="false" ht="15.25" hidden="false" customHeight="false" outlineLevel="0" collapsed="false">
      <c r="B88" s="10" t="s">
        <v>14</v>
      </c>
      <c r="C88" s="6" t="s">
        <v>98</v>
      </c>
      <c r="D88" s="49" t="n">
        <v>0.0028</v>
      </c>
      <c r="E88" s="24" t="n">
        <f aca="false">$E$32*D88</f>
        <v>7.10737266909091</v>
      </c>
    </row>
    <row r="89" customFormat="false" ht="17.85" hidden="false" customHeight="true" outlineLevel="0" collapsed="false">
      <c r="B89" s="10" t="s">
        <v>37</v>
      </c>
      <c r="C89" s="6" t="s">
        <v>99</v>
      </c>
      <c r="D89" s="49" t="n">
        <v>0.0003</v>
      </c>
      <c r="E89" s="24" t="n">
        <f aca="false">$E$32*D89</f>
        <v>0.761504214545455</v>
      </c>
    </row>
    <row r="90" customFormat="false" ht="15.25" hidden="false" customHeight="false" outlineLevel="0" collapsed="false">
      <c r="B90" s="10" t="s">
        <v>39</v>
      </c>
      <c r="C90" s="6" t="s">
        <v>100</v>
      </c>
      <c r="D90" s="49"/>
      <c r="E90" s="24" t="n">
        <v>0</v>
      </c>
    </row>
    <row r="91" customFormat="false" ht="15.25" hidden="false" customHeight="false" outlineLevel="0" collapsed="false">
      <c r="B91" s="34" t="s">
        <v>101</v>
      </c>
      <c r="C91" s="34"/>
      <c r="D91" s="53" t="n">
        <v>0.131</v>
      </c>
      <c r="E91" s="21" t="n">
        <f aca="false">$E$32*D91</f>
        <v>332.523507018182</v>
      </c>
    </row>
    <row r="92" customFormat="false" ht="30.75" hidden="false" customHeight="true" outlineLevel="0" collapsed="false">
      <c r="B92" s="10" t="s">
        <v>69</v>
      </c>
      <c r="C92" s="54" t="s">
        <v>102</v>
      </c>
      <c r="D92" s="49" t="n">
        <v>0.048208</v>
      </c>
      <c r="E92" s="24" t="n">
        <f aca="false">$E$32*D92</f>
        <v>122.368650582691</v>
      </c>
    </row>
    <row r="93" customFormat="false" ht="15.25" hidden="false" customHeight="false" outlineLevel="0" collapsed="false">
      <c r="B93" s="20" t="s">
        <v>73</v>
      </c>
      <c r="C93" s="20"/>
      <c r="D93" s="53" t="n">
        <v>0.179208</v>
      </c>
      <c r="E93" s="21" t="n">
        <f aca="false">$E$32*D93</f>
        <v>454.892157600873</v>
      </c>
    </row>
    <row r="94" customFormat="false" ht="17.25" hidden="false" customHeight="true" outlineLevel="0" collapsed="false">
      <c r="B94" s="14" t="s">
        <v>103</v>
      </c>
      <c r="C94" s="14"/>
      <c r="D94" s="14"/>
      <c r="E94" s="14"/>
    </row>
    <row r="95" customFormat="false" ht="15.25" hidden="false" customHeight="false" outlineLevel="0" collapsed="false">
      <c r="B95" s="2" t="n">
        <v>4</v>
      </c>
      <c r="C95" s="2" t="s">
        <v>104</v>
      </c>
      <c r="D95" s="10" t="s">
        <v>31</v>
      </c>
      <c r="E95" s="2" t="s">
        <v>32</v>
      </c>
    </row>
    <row r="96" customFormat="false" ht="15.65" hidden="false" customHeight="false" outlineLevel="0" collapsed="false">
      <c r="B96" s="10" t="s">
        <v>105</v>
      </c>
      <c r="C96" s="6" t="s">
        <v>106</v>
      </c>
      <c r="D96" s="56" t="n">
        <v>0.368</v>
      </c>
      <c r="E96" s="24" t="n">
        <f aca="false">$E$32*D96</f>
        <v>934.111836509091</v>
      </c>
    </row>
    <row r="97" customFormat="false" ht="15.65" hidden="false" customHeight="false" outlineLevel="0" collapsed="false">
      <c r="B97" s="10" t="s">
        <v>107</v>
      </c>
      <c r="C97" s="6" t="s">
        <v>108</v>
      </c>
      <c r="D97" s="56" t="n">
        <v>0.1139544</v>
      </c>
      <c r="E97" s="24" t="n">
        <f aca="false">$E$32*D97</f>
        <v>289.255852886662</v>
      </c>
    </row>
    <row r="98" customFormat="false" ht="15.65" hidden="false" customHeight="false" outlineLevel="0" collapsed="false">
      <c r="B98" s="10" t="s">
        <v>109</v>
      </c>
      <c r="C98" s="6" t="s">
        <v>110</v>
      </c>
      <c r="D98" s="56" t="n">
        <v>0.00104</v>
      </c>
      <c r="E98" s="24" t="n">
        <f aca="false">$E$32*D98</f>
        <v>2.63988127709091</v>
      </c>
    </row>
    <row r="99" customFormat="false" ht="15.65" hidden="false" customHeight="false" outlineLevel="0" collapsed="false">
      <c r="B99" s="10" t="s">
        <v>111</v>
      </c>
      <c r="C99" s="6" t="s">
        <v>112</v>
      </c>
      <c r="D99" s="56" t="n">
        <v>0.074876</v>
      </c>
      <c r="E99" s="24" t="n">
        <f aca="false">$E$32*D99</f>
        <v>190.061298561018</v>
      </c>
    </row>
    <row r="100" customFormat="false" ht="15.65" hidden="false" customHeight="false" outlineLevel="0" collapsed="false">
      <c r="B100" s="10" t="s">
        <v>113</v>
      </c>
      <c r="C100" s="6" t="s">
        <v>114</v>
      </c>
      <c r="D100" s="56" t="n">
        <v>0.179208</v>
      </c>
      <c r="E100" s="24" t="n">
        <f aca="false">$E$32*D100</f>
        <v>454.892157600873</v>
      </c>
    </row>
    <row r="101" customFormat="false" ht="15.65" hidden="false" customHeight="false" outlineLevel="0" collapsed="false">
      <c r="B101" s="10" t="s">
        <v>115</v>
      </c>
      <c r="C101" s="6" t="s">
        <v>100</v>
      </c>
      <c r="D101" s="56"/>
      <c r="E101" s="24"/>
    </row>
    <row r="102" customFormat="false" ht="15.25" hidden="false" customHeight="false" outlineLevel="0" collapsed="false">
      <c r="B102" s="20" t="s">
        <v>73</v>
      </c>
      <c r="C102" s="20"/>
      <c r="D102" s="57" t="n">
        <v>0.7370784</v>
      </c>
      <c r="E102" s="21" t="n">
        <f aca="false">$E$32*D102</f>
        <v>1870.96102683473</v>
      </c>
    </row>
    <row r="103" customFormat="false" ht="15.65" hidden="false" customHeight="false" outlineLevel="0" collapsed="false">
      <c r="B103" s="2" t="s">
        <v>116</v>
      </c>
      <c r="C103" s="2"/>
      <c r="D103" s="2"/>
      <c r="E103" s="2"/>
    </row>
    <row r="104" customFormat="false" ht="15.25" hidden="false" customHeight="false" outlineLevel="0" collapsed="false">
      <c r="B104" s="2" t="n">
        <v>5</v>
      </c>
      <c r="C104" s="2" t="s">
        <v>117</v>
      </c>
      <c r="D104" s="10" t="s">
        <v>31</v>
      </c>
      <c r="E104" s="2" t="s">
        <v>32</v>
      </c>
    </row>
    <row r="105" customFormat="false" ht="15.25" hidden="false" customHeight="false" outlineLevel="0" collapsed="false">
      <c r="B105" s="10" t="s">
        <v>6</v>
      </c>
      <c r="C105" s="59" t="s">
        <v>118</v>
      </c>
      <c r="D105" s="38" t="n">
        <v>0.06</v>
      </c>
      <c r="E105" s="33" t="n">
        <f aca="false">E124*D105</f>
        <v>343.123183572363</v>
      </c>
    </row>
    <row r="106" customFormat="false" ht="15.25" hidden="false" customHeight="false" outlineLevel="0" collapsed="false">
      <c r="B106" s="10" t="s">
        <v>8</v>
      </c>
      <c r="C106" s="59" t="s">
        <v>119</v>
      </c>
      <c r="D106" s="38" t="n">
        <v>0.0679</v>
      </c>
      <c r="E106" s="33" t="n">
        <f aca="false">(E124+E105)*D106</f>
        <v>411.599133573954</v>
      </c>
    </row>
    <row r="107" customFormat="false" ht="15.25" hidden="false" customHeight="false" outlineLevel="0" collapsed="false">
      <c r="B107" s="10" t="s">
        <v>11</v>
      </c>
      <c r="C107" s="59" t="s">
        <v>120</v>
      </c>
      <c r="D107" s="6"/>
      <c r="E107" s="6"/>
    </row>
    <row r="108" customFormat="false" ht="15.65" hidden="false" customHeight="false" outlineLevel="0" collapsed="false">
      <c r="B108" s="60" t="s">
        <v>121</v>
      </c>
      <c r="C108" s="6" t="s">
        <v>122</v>
      </c>
      <c r="D108" s="61" t="n">
        <v>3</v>
      </c>
      <c r="E108" s="62" t="n">
        <f aca="false">E126*D108/100</f>
        <v>212.592513738994</v>
      </c>
    </row>
    <row r="109" customFormat="false" ht="15.65" hidden="false" customHeight="false" outlineLevel="0" collapsed="false">
      <c r="B109" s="60"/>
      <c r="C109" s="6" t="s">
        <v>123</v>
      </c>
      <c r="D109" s="61" t="n">
        <v>0.65</v>
      </c>
      <c r="E109" s="62" t="n">
        <f aca="false">E126*D109/100</f>
        <v>46.0617113101154</v>
      </c>
    </row>
    <row r="110" customFormat="false" ht="17.1" hidden="false" customHeight="true" outlineLevel="0" collapsed="false">
      <c r="B110" s="60" t="s">
        <v>124</v>
      </c>
      <c r="C110" s="6" t="s">
        <v>125</v>
      </c>
      <c r="D110" s="61"/>
      <c r="E110" s="62"/>
    </row>
    <row r="111" customFormat="false" ht="29.85" hidden="false" customHeight="true" outlineLevel="0" collapsed="false">
      <c r="B111" s="60" t="s">
        <v>126</v>
      </c>
      <c r="C111" s="6" t="s">
        <v>127</v>
      </c>
      <c r="D111" s="61" t="n">
        <v>5</v>
      </c>
      <c r="E111" s="62" t="n">
        <f aca="false">E126*D111/100</f>
        <v>354.320856231657</v>
      </c>
    </row>
    <row r="112" customFormat="false" ht="15.25" hidden="false" customHeight="false" outlineLevel="0" collapsed="false">
      <c r="B112" s="60" t="s">
        <v>128</v>
      </c>
      <c r="C112" s="6" t="s">
        <v>129</v>
      </c>
      <c r="D112" s="38"/>
      <c r="E112" s="62"/>
    </row>
    <row r="113" customFormat="false" ht="17.1" hidden="false" customHeight="true" outlineLevel="0" collapsed="false"/>
    <row r="114" customFormat="false" ht="22.95" hidden="false" customHeight="true" outlineLevel="0" collapsed="false">
      <c r="B114" s="20" t="s">
        <v>130</v>
      </c>
      <c r="C114" s="20"/>
      <c r="D114" s="2" t="n">
        <v>11.25</v>
      </c>
      <c r="E114" s="33" t="n">
        <f aca="false">SUM(E105:E111)</f>
        <v>1367.69739842708</v>
      </c>
    </row>
    <row r="115" customFormat="false" ht="17.25" hidden="false" customHeight="true" outlineLevel="0" collapsed="false">
      <c r="B115" s="65" t="s">
        <v>131</v>
      </c>
      <c r="C115" s="65"/>
      <c r="D115" s="66" t="n">
        <f aca="false">(1-(D108+D109+D111)/100)</f>
        <v>0.9135</v>
      </c>
      <c r="E115" s="67"/>
    </row>
    <row r="116" customFormat="false" ht="15.25" hidden="false" customHeight="false" outlineLevel="0" collapsed="false">
      <c r="B116" s="65"/>
      <c r="C116" s="65"/>
      <c r="D116" s="68" t="n">
        <f aca="false">(E124+E105+E106)/D115</f>
        <v>7086.41712463314</v>
      </c>
      <c r="E116" s="69"/>
    </row>
    <row r="117" customFormat="false" ht="16.5" hidden="false" customHeight="true" outlineLevel="0" collapsed="false">
      <c r="B117" s="4" t="s">
        <v>132</v>
      </c>
      <c r="C117" s="4"/>
      <c r="D117" s="33"/>
      <c r="E117" s="71"/>
    </row>
    <row r="118" customFormat="false" ht="17.25" hidden="false" customHeight="true" outlineLevel="0" collapsed="false">
      <c r="B118" s="2" t="s">
        <v>133</v>
      </c>
      <c r="C118" s="2"/>
      <c r="D118" s="2"/>
      <c r="E118" s="2"/>
    </row>
    <row r="119" customFormat="false" ht="17.25" hidden="false" customHeight="true" outlineLevel="0" collapsed="false">
      <c r="B119" s="2"/>
      <c r="C119" s="14" t="s">
        <v>134</v>
      </c>
      <c r="D119" s="14"/>
      <c r="E119" s="2" t="s">
        <v>32</v>
      </c>
    </row>
    <row r="120" customFormat="false" ht="15.65" hidden="false" customHeight="false" outlineLevel="0" collapsed="false">
      <c r="B120" s="10" t="s">
        <v>6</v>
      </c>
      <c r="C120" s="34" t="s">
        <v>135</v>
      </c>
      <c r="D120" s="34"/>
      <c r="E120" s="71" t="n">
        <f aca="false">E32</f>
        <v>2538.34738181818</v>
      </c>
    </row>
    <row r="121" customFormat="false" ht="17.25" hidden="false" customHeight="true" outlineLevel="0" collapsed="false">
      <c r="B121" s="10" t="s">
        <v>8</v>
      </c>
      <c r="C121" s="34" t="s">
        <v>136</v>
      </c>
      <c r="D121" s="34"/>
      <c r="E121" s="23" t="n">
        <f aca="false">E41</f>
        <v>599.625952380953</v>
      </c>
    </row>
    <row r="122" customFormat="false" ht="15.65" hidden="false" customHeight="false" outlineLevel="0" collapsed="false">
      <c r="B122" s="10" t="s">
        <v>11</v>
      </c>
      <c r="C122" s="34" t="s">
        <v>137</v>
      </c>
      <c r="D122" s="34"/>
      <c r="E122" s="71" t="n">
        <f aca="false">E51</f>
        <v>709.78536517219</v>
      </c>
    </row>
    <row r="123" customFormat="false" ht="15.65" hidden="false" customHeight="false" outlineLevel="0" collapsed="false">
      <c r="B123" s="10" t="s">
        <v>14</v>
      </c>
      <c r="C123" s="34" t="s">
        <v>138</v>
      </c>
      <c r="D123" s="34"/>
      <c r="E123" s="23" t="n">
        <f aca="false">E102</f>
        <v>1870.96102683473</v>
      </c>
      <c r="F123" s="76"/>
    </row>
    <row r="124" customFormat="false" ht="15.25" hidden="false" customHeight="false" outlineLevel="0" collapsed="false">
      <c r="B124" s="20" t="s">
        <v>139</v>
      </c>
      <c r="C124" s="20"/>
      <c r="D124" s="20"/>
      <c r="E124" s="72" t="n">
        <f aca="false">SUM(E120:E123)</f>
        <v>5718.71972620605</v>
      </c>
    </row>
    <row r="125" customFormat="false" ht="15.25" hidden="false" customHeight="false" outlineLevel="0" collapsed="false">
      <c r="B125" s="10" t="s">
        <v>37</v>
      </c>
      <c r="C125" s="2" t="s">
        <v>140</v>
      </c>
      <c r="D125" s="2"/>
      <c r="E125" s="23" t="n">
        <f aca="false">E114</f>
        <v>1367.69739842708</v>
      </c>
    </row>
    <row r="126" customFormat="false" ht="15.65" hidden="false" customHeight="false" outlineLevel="0" collapsed="false">
      <c r="B126" s="2" t="s">
        <v>141</v>
      </c>
      <c r="C126" s="2"/>
      <c r="D126" s="2"/>
      <c r="E126" s="73" t="n">
        <f aca="false">(E124+E105+E106)/(1-(D108+D109+D111)/100)</f>
        <v>7086.41712463314</v>
      </c>
    </row>
    <row r="127" customFormat="false" ht="15.65" hidden="false" customHeight="false" outlineLevel="0" collapsed="false">
      <c r="B127" s="2" t="s">
        <v>142</v>
      </c>
      <c r="C127" s="2"/>
      <c r="D127" s="2"/>
      <c r="E127" s="73" t="n">
        <f aca="false">E126*2</f>
        <v>14172.8342492663</v>
      </c>
    </row>
  </sheetData>
  <mergeCells count="58">
    <mergeCell ref="B3:E5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B24:E24"/>
    <mergeCell ref="B32:D32"/>
    <mergeCell ref="B33:E33"/>
    <mergeCell ref="B41:D41"/>
    <mergeCell ref="B42:E42"/>
    <mergeCell ref="B51:D51"/>
    <mergeCell ref="B52:E52"/>
    <mergeCell ref="B53:E53"/>
    <mergeCell ref="B63:C63"/>
    <mergeCell ref="B64:E64"/>
    <mergeCell ref="B68:C68"/>
    <mergeCell ref="B69:E69"/>
    <mergeCell ref="B73:C73"/>
    <mergeCell ref="B74:E74"/>
    <mergeCell ref="B82:C82"/>
    <mergeCell ref="B83:E83"/>
    <mergeCell ref="B91:C91"/>
    <mergeCell ref="B93:C93"/>
    <mergeCell ref="B94:E94"/>
    <mergeCell ref="B102:C102"/>
    <mergeCell ref="B103:E103"/>
    <mergeCell ref="B108:B109"/>
    <mergeCell ref="B114:C114"/>
    <mergeCell ref="B115:C116"/>
    <mergeCell ref="B117:C117"/>
    <mergeCell ref="B118:E118"/>
    <mergeCell ref="C119:D119"/>
    <mergeCell ref="C120:D120"/>
    <mergeCell ref="C121:D121"/>
    <mergeCell ref="C122:D122"/>
    <mergeCell ref="C123:D123"/>
    <mergeCell ref="B124:D124"/>
    <mergeCell ref="C125:D125"/>
    <mergeCell ref="B126:D126"/>
    <mergeCell ref="B127:D127"/>
  </mergeCells>
  <printOptions headings="false" gridLines="false" gridLinesSet="true" horizontalCentered="false" verticalCentered="false"/>
  <pageMargins left="0" right="0" top="0.138888888888889" bottom="0.138888888888889" header="0" footer="0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&amp;C&amp;10&amp;A</oddHeader>
    <oddFooter>&amp;C&amp;10Página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15"/>
  <sheetViews>
    <sheetView windowProtection="false" showFormulas="false" showGridLines="true" showRowColHeaders="true" showZeros="true" rightToLeft="false" tabSelected="false" showOutlineSymbols="true" defaultGridColor="true" view="normal" topLeftCell="A85" colorId="64" zoomScale="60" zoomScaleNormal="60" zoomScalePageLayoutView="100" workbookViewId="0">
      <selection pane="topLeft" activeCell="A1" activeCellId="0" sqref="A1"/>
    </sheetView>
  </sheetViews>
  <sheetFormatPr defaultRowHeight="14.05"/>
  <cols>
    <col collapsed="false" hidden="false" max="1" min="1" style="0" width="23.3813953488372"/>
    <col collapsed="false" hidden="false" max="3" min="2" style="0" width="20.9209302325581"/>
    <col collapsed="false" hidden="false" max="4" min="4" style="0" width="19.9348837209302"/>
    <col collapsed="false" hidden="false" max="5" min="5" style="0" width="27.8139534883721"/>
    <col collapsed="false" hidden="false" max="6" min="6" style="0" width="43.0697674418605"/>
    <col collapsed="false" hidden="false" max="7" min="7" style="0" width="27.1953488372093"/>
    <col collapsed="false" hidden="false" max="8" min="8" style="0" width="25.7209302325581"/>
    <col collapsed="false" hidden="false" max="1025" min="9" style="0" width="11.5674418604651"/>
  </cols>
  <sheetData>
    <row r="1" customFormat="false" ht="17.65" hidden="false" customHeight="false" outlineLevel="0" collapsed="false">
      <c r="A1" s="99" t="s">
        <v>266</v>
      </c>
      <c r="B1" s="99"/>
      <c r="C1" s="99"/>
      <c r="D1" s="99"/>
      <c r="E1" s="99"/>
      <c r="F1" s="99"/>
      <c r="G1" s="99"/>
      <c r="H1" s="99"/>
      <c r="I1" s="125"/>
      <c r="J1" s="125"/>
    </row>
    <row r="2" customFormat="false" ht="14.0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125"/>
      <c r="J2" s="125"/>
    </row>
    <row r="3" customFormat="false" ht="15.25" hidden="false" customHeight="false" outlineLevel="0" collapsed="false">
      <c r="A3" s="100" t="s">
        <v>188</v>
      </c>
      <c r="B3" s="100"/>
      <c r="C3" s="100"/>
      <c r="D3" s="100"/>
      <c r="E3" s="100"/>
      <c r="F3" s="100"/>
      <c r="G3" s="100"/>
      <c r="H3" s="100"/>
      <c r="I3" s="125"/>
      <c r="J3" s="125"/>
    </row>
    <row r="4" customFormat="false" ht="15.25" hidden="false" customHeight="false" outlineLevel="0" collapsed="false">
      <c r="A4" s="102" t="s">
        <v>171</v>
      </c>
      <c r="B4" s="102" t="s">
        <v>172</v>
      </c>
      <c r="C4" s="102" t="s">
        <v>173</v>
      </c>
      <c r="D4" s="102" t="s">
        <v>174</v>
      </c>
      <c r="E4" s="102" t="s">
        <v>190</v>
      </c>
      <c r="F4" s="102" t="s">
        <v>191</v>
      </c>
      <c r="G4" s="102" t="s">
        <v>192</v>
      </c>
      <c r="H4" s="102" t="s">
        <v>193</v>
      </c>
      <c r="I4" s="125"/>
      <c r="J4" s="125"/>
    </row>
    <row r="5" customFormat="false" ht="15.25" hidden="false" customHeight="false" outlineLevel="0" collapsed="false">
      <c r="A5" s="105" t="n">
        <v>1500</v>
      </c>
      <c r="B5" s="105" t="n">
        <v>1950</v>
      </c>
      <c r="C5" s="105" t="n">
        <v>2000</v>
      </c>
      <c r="D5" s="105" t="n">
        <f aca="false">(A5+B5+C5)/3</f>
        <v>1816.66666666667</v>
      </c>
      <c r="E5" s="106" t="n">
        <v>0.1</v>
      </c>
      <c r="F5" s="107" t="n">
        <v>10</v>
      </c>
      <c r="G5" s="105" t="n">
        <f aca="false">(D5/F5)/12</f>
        <v>15.1388888888889</v>
      </c>
      <c r="H5" s="105" t="n">
        <f aca="false">G5/4</f>
        <v>3.78472222222222</v>
      </c>
      <c r="I5" s="140"/>
      <c r="J5" s="125"/>
    </row>
    <row r="6" customFormat="false" ht="14.05" hidden="false" customHeight="false" outlineLevel="0" collapsed="false">
      <c r="I6" s="125"/>
      <c r="J6" s="125"/>
    </row>
    <row r="7" customFormat="false" ht="15.25" hidden="false" customHeight="false" outlineLevel="0" collapsed="false">
      <c r="A7" s="100" t="s">
        <v>194</v>
      </c>
      <c r="B7" s="100"/>
      <c r="C7" s="100"/>
      <c r="D7" s="100"/>
      <c r="E7" s="100"/>
      <c r="F7" s="100"/>
      <c r="G7" s="100"/>
      <c r="H7" s="100"/>
      <c r="I7" s="125"/>
      <c r="J7" s="125"/>
    </row>
    <row r="8" customFormat="false" ht="15.25" hidden="false" customHeight="false" outlineLevel="0" collapsed="false">
      <c r="A8" s="102" t="s">
        <v>171</v>
      </c>
      <c r="B8" s="102" t="s">
        <v>172</v>
      </c>
      <c r="C8" s="102" t="s">
        <v>173</v>
      </c>
      <c r="D8" s="102" t="s">
        <v>174</v>
      </c>
      <c r="E8" s="102" t="s">
        <v>190</v>
      </c>
      <c r="F8" s="102" t="s">
        <v>191</v>
      </c>
      <c r="G8" s="102" t="s">
        <v>192</v>
      </c>
      <c r="H8" s="102" t="s">
        <v>193</v>
      </c>
      <c r="I8" s="125"/>
      <c r="J8" s="125"/>
    </row>
    <row r="9" customFormat="false" ht="15.25" hidden="false" customHeight="false" outlineLevel="0" collapsed="false">
      <c r="A9" s="105" t="n">
        <v>150</v>
      </c>
      <c r="B9" s="105" t="n">
        <v>150</v>
      </c>
      <c r="C9" s="105" t="n">
        <v>150</v>
      </c>
      <c r="D9" s="105" t="n">
        <f aca="false">(A9+B9+C9)/3</f>
        <v>150</v>
      </c>
      <c r="E9" s="106" t="n">
        <v>0.1</v>
      </c>
      <c r="F9" s="107" t="n">
        <v>10</v>
      </c>
      <c r="G9" s="105" t="n">
        <f aca="false">(D9/F9)/12*2</f>
        <v>2.5</v>
      </c>
      <c r="H9" s="105" t="n">
        <f aca="false">G9/4</f>
        <v>0.625</v>
      </c>
      <c r="I9" s="140"/>
      <c r="J9" s="125"/>
    </row>
    <row r="10" customFormat="false" ht="14.05" hidden="false" customHeight="false" outlineLevel="0" collapsed="false">
      <c r="I10" s="125"/>
      <c r="J10" s="125"/>
    </row>
    <row r="11" customFormat="false" ht="15.25" hidden="false" customHeight="false" outlineLevel="0" collapsed="false">
      <c r="A11" s="100" t="s">
        <v>197</v>
      </c>
      <c r="B11" s="100"/>
      <c r="C11" s="100"/>
      <c r="D11" s="100"/>
      <c r="E11" s="100"/>
      <c r="F11" s="100"/>
      <c r="G11" s="100"/>
      <c r="H11" s="100"/>
      <c r="I11" s="125"/>
      <c r="J11" s="125"/>
    </row>
    <row r="12" customFormat="false" ht="15.25" hidden="false" customHeight="false" outlineLevel="0" collapsed="false">
      <c r="A12" s="102" t="s">
        <v>171</v>
      </c>
      <c r="B12" s="102" t="s">
        <v>172</v>
      </c>
      <c r="C12" s="102" t="s">
        <v>173</v>
      </c>
      <c r="D12" s="102" t="s">
        <v>174</v>
      </c>
      <c r="E12" s="102" t="s">
        <v>190</v>
      </c>
      <c r="F12" s="102" t="s">
        <v>191</v>
      </c>
      <c r="G12" s="102" t="s">
        <v>192</v>
      </c>
      <c r="H12" s="102" t="s">
        <v>193</v>
      </c>
      <c r="I12" s="125"/>
      <c r="J12" s="125"/>
    </row>
    <row r="13" customFormat="false" ht="15.25" hidden="false" customHeight="false" outlineLevel="0" collapsed="false">
      <c r="A13" s="105" t="n">
        <v>989</v>
      </c>
      <c r="B13" s="105" t="n">
        <v>1124.57</v>
      </c>
      <c r="C13" s="105" t="n">
        <v>1180</v>
      </c>
      <c r="D13" s="105" t="n">
        <f aca="false">(A13+B13+C13)/3</f>
        <v>1097.85666666667</v>
      </c>
      <c r="E13" s="106" t="n">
        <v>0.1</v>
      </c>
      <c r="F13" s="107" t="n">
        <v>10</v>
      </c>
      <c r="G13" s="105" t="n">
        <f aca="false">(D13/F13)/12</f>
        <v>9.14880555555556</v>
      </c>
      <c r="H13" s="105" t="n">
        <f aca="false">G13/4</f>
        <v>2.28720138888889</v>
      </c>
      <c r="I13" s="140"/>
      <c r="J13" s="125"/>
    </row>
    <row r="14" customFormat="false" ht="15.25" hidden="false" customHeight="false" outlineLevel="0" collapsed="false">
      <c r="A14" s="105"/>
      <c r="B14" s="105"/>
      <c r="C14" s="105"/>
      <c r="D14" s="105"/>
      <c r="E14" s="106"/>
      <c r="F14" s="107"/>
      <c r="G14" s="105"/>
      <c r="H14" s="105"/>
      <c r="I14" s="140"/>
      <c r="J14" s="125"/>
    </row>
    <row r="15" customFormat="false" ht="15.25" hidden="false" customHeight="false" outlineLevel="0" collapsed="false">
      <c r="A15" s="100" t="s">
        <v>195</v>
      </c>
      <c r="B15" s="100"/>
      <c r="C15" s="100"/>
      <c r="D15" s="100"/>
      <c r="E15" s="100"/>
      <c r="F15" s="100"/>
      <c r="G15" s="100"/>
      <c r="H15" s="100"/>
      <c r="I15" s="140"/>
      <c r="J15" s="125"/>
    </row>
    <row r="16" customFormat="false" ht="15.25" hidden="false" customHeight="false" outlineLevel="0" collapsed="false">
      <c r="A16" s="102" t="s">
        <v>171</v>
      </c>
      <c r="B16" s="102" t="s">
        <v>172</v>
      </c>
      <c r="C16" s="102" t="s">
        <v>173</v>
      </c>
      <c r="D16" s="102" t="s">
        <v>174</v>
      </c>
      <c r="E16" s="102" t="s">
        <v>190</v>
      </c>
      <c r="F16" s="103" t="s">
        <v>191</v>
      </c>
      <c r="G16" s="102" t="s">
        <v>192</v>
      </c>
      <c r="H16" s="102" t="s">
        <v>193</v>
      </c>
      <c r="I16" s="140"/>
      <c r="J16" s="125"/>
    </row>
    <row r="17" customFormat="false" ht="15.25" hidden="false" customHeight="false" outlineLevel="0" collapsed="false">
      <c r="A17" s="105" t="n">
        <v>99.96</v>
      </c>
      <c r="B17" s="105" t="n">
        <v>103.66</v>
      </c>
      <c r="C17" s="105" t="n">
        <v>99.96</v>
      </c>
      <c r="D17" s="105" t="n">
        <f aca="false">(A17+B17+C17)/3</f>
        <v>101.193333333333</v>
      </c>
      <c r="E17" s="106" t="n">
        <v>0.2</v>
      </c>
      <c r="F17" s="107" t="n">
        <v>5</v>
      </c>
      <c r="G17" s="105" t="n">
        <f aca="false">(D17/F17)/12</f>
        <v>1.68655555555556</v>
      </c>
      <c r="H17" s="105" t="n">
        <f aca="false">G17/4</f>
        <v>0.421638888888889</v>
      </c>
      <c r="I17" s="140"/>
      <c r="J17" s="125"/>
    </row>
    <row r="18" customFormat="false" ht="14.05" hidden="false" customHeight="false" outlineLevel="0" collapsed="false">
      <c r="I18" s="140"/>
      <c r="J18" s="125"/>
    </row>
    <row r="19" customFormat="false" ht="15.25" hidden="false" customHeight="false" outlineLevel="0" collapsed="false">
      <c r="A19" s="100" t="s">
        <v>196</v>
      </c>
      <c r="B19" s="100"/>
      <c r="C19" s="100"/>
      <c r="D19" s="100"/>
      <c r="E19" s="100"/>
      <c r="F19" s="100"/>
      <c r="G19" s="100"/>
      <c r="H19" s="100"/>
      <c r="I19" s="140"/>
      <c r="J19" s="125"/>
    </row>
    <row r="20" customFormat="false" ht="15.25" hidden="false" customHeight="false" outlineLevel="0" collapsed="false">
      <c r="A20" s="102" t="s">
        <v>171</v>
      </c>
      <c r="B20" s="102" t="s">
        <v>172</v>
      </c>
      <c r="C20" s="102" t="s">
        <v>173</v>
      </c>
      <c r="D20" s="102" t="s">
        <v>174</v>
      </c>
      <c r="E20" s="102" t="s">
        <v>190</v>
      </c>
      <c r="F20" s="103" t="s">
        <v>191</v>
      </c>
      <c r="G20" s="102" t="s">
        <v>192</v>
      </c>
      <c r="H20" s="102" t="s">
        <v>192</v>
      </c>
      <c r="I20" s="140"/>
      <c r="J20" s="125"/>
    </row>
    <row r="21" customFormat="false" ht="15.25" hidden="false" customHeight="false" outlineLevel="0" collapsed="false">
      <c r="A21" s="105" t="n">
        <v>35.99</v>
      </c>
      <c r="B21" s="105" t="n">
        <v>39.99</v>
      </c>
      <c r="C21" s="105" t="n">
        <v>34.9</v>
      </c>
      <c r="D21" s="105" t="n">
        <f aca="false">(A21+B21+C21)/3</f>
        <v>36.96</v>
      </c>
      <c r="E21" s="106" t="n">
        <v>0</v>
      </c>
      <c r="F21" s="106"/>
      <c r="G21" s="105" t="n">
        <f aca="false">D21</f>
        <v>36.96</v>
      </c>
      <c r="H21" s="105" t="n">
        <f aca="false">G21/4</f>
        <v>9.24</v>
      </c>
      <c r="I21" s="140"/>
      <c r="J21" s="125"/>
    </row>
    <row r="22" customFormat="false" ht="14.05" hidden="false" customHeight="false" outlineLevel="0" collapsed="false">
      <c r="I22" s="140"/>
      <c r="J22" s="125"/>
    </row>
    <row r="23" customFormat="false" ht="15.25" hidden="false" customHeight="false" outlineLevel="0" collapsed="false">
      <c r="A23" s="100" t="s">
        <v>198</v>
      </c>
      <c r="B23" s="100"/>
      <c r="C23" s="100"/>
      <c r="D23" s="100"/>
      <c r="E23" s="100"/>
      <c r="F23" s="100"/>
      <c r="G23" s="100"/>
      <c r="H23" s="100"/>
      <c r="I23" s="125"/>
      <c r="J23" s="125"/>
    </row>
    <row r="24" customFormat="false" ht="15.25" hidden="false" customHeight="false" outlineLevel="0" collapsed="false">
      <c r="A24" s="102" t="s">
        <v>171</v>
      </c>
      <c r="B24" s="102" t="s">
        <v>172</v>
      </c>
      <c r="C24" s="102" t="s">
        <v>173</v>
      </c>
      <c r="D24" s="102" t="s">
        <v>174</v>
      </c>
      <c r="E24" s="102" t="s">
        <v>190</v>
      </c>
      <c r="F24" s="102" t="s">
        <v>191</v>
      </c>
      <c r="G24" s="102" t="s">
        <v>192</v>
      </c>
      <c r="H24" s="102" t="s">
        <v>193</v>
      </c>
      <c r="I24" s="125"/>
      <c r="J24" s="125"/>
    </row>
    <row r="25" customFormat="false" ht="15.25" hidden="false" customHeight="false" outlineLevel="0" collapsed="false">
      <c r="A25" s="105" t="n">
        <v>1050</v>
      </c>
      <c r="B25" s="105" t="n">
        <v>1050</v>
      </c>
      <c r="C25" s="105" t="n">
        <v>1050</v>
      </c>
      <c r="D25" s="105" t="n">
        <f aca="false">(A25+B25+C25)/3</f>
        <v>1050</v>
      </c>
      <c r="E25" s="106" t="n">
        <v>0.2</v>
      </c>
      <c r="F25" s="107" t="n">
        <v>5</v>
      </c>
      <c r="G25" s="105" t="n">
        <f aca="false">(D25/F25)/12</f>
        <v>17.5</v>
      </c>
      <c r="H25" s="105" t="n">
        <f aca="false">G25/4</f>
        <v>4.375</v>
      </c>
      <c r="I25" s="140"/>
      <c r="J25" s="125"/>
    </row>
    <row r="26" customFormat="false" ht="14.05" hidden="false" customHeight="false" outlineLevel="0" collapsed="false">
      <c r="I26" s="125"/>
      <c r="J26" s="125"/>
    </row>
    <row r="27" customFormat="false" ht="15.25" hidden="false" customHeight="false" outlineLevel="0" collapsed="false">
      <c r="A27" s="100" t="s">
        <v>199</v>
      </c>
      <c r="B27" s="100"/>
      <c r="C27" s="100"/>
      <c r="D27" s="100"/>
      <c r="E27" s="100"/>
      <c r="F27" s="100"/>
      <c r="G27" s="100"/>
      <c r="H27" s="100"/>
      <c r="I27" s="125"/>
      <c r="J27" s="125"/>
    </row>
    <row r="28" customFormat="false" ht="15.25" hidden="false" customHeight="false" outlineLevel="0" collapsed="false">
      <c r="A28" s="102" t="s">
        <v>171</v>
      </c>
      <c r="B28" s="102" t="s">
        <v>172</v>
      </c>
      <c r="C28" s="102" t="s">
        <v>173</v>
      </c>
      <c r="D28" s="102" t="s">
        <v>174</v>
      </c>
      <c r="E28" s="102" t="s">
        <v>190</v>
      </c>
      <c r="F28" s="102" t="s">
        <v>191</v>
      </c>
      <c r="G28" s="102" t="s">
        <v>192</v>
      </c>
      <c r="H28" s="102" t="s">
        <v>193</v>
      </c>
      <c r="I28" s="125"/>
      <c r="J28" s="125"/>
    </row>
    <row r="29" customFormat="false" ht="15.25" hidden="false" customHeight="false" outlineLevel="0" collapsed="false">
      <c r="A29" s="105" t="n">
        <v>180</v>
      </c>
      <c r="B29" s="105" t="n">
        <v>150</v>
      </c>
      <c r="C29" s="105" t="n">
        <v>175</v>
      </c>
      <c r="D29" s="105" t="n">
        <f aca="false">(A29+B29+C29)/3</f>
        <v>168.333333333333</v>
      </c>
      <c r="E29" s="106" t="n">
        <v>0.25</v>
      </c>
      <c r="F29" s="107" t="n">
        <v>4</v>
      </c>
      <c r="G29" s="105" t="n">
        <f aca="false">(D29/F29)/12</f>
        <v>3.50694444444444</v>
      </c>
      <c r="H29" s="105" t="n">
        <f aca="false">G29/4</f>
        <v>0.876736111111111</v>
      </c>
      <c r="I29" s="140"/>
      <c r="J29" s="125"/>
    </row>
    <row r="30" customFormat="false" ht="14.05" hidden="false" customHeight="false" outlineLevel="0" collapsed="false">
      <c r="I30" s="125"/>
      <c r="J30" s="125"/>
    </row>
    <row r="31" customFormat="false" ht="15.25" hidden="false" customHeight="false" outlineLevel="0" collapsed="false">
      <c r="A31" s="100" t="s">
        <v>224</v>
      </c>
      <c r="B31" s="100"/>
      <c r="C31" s="100"/>
      <c r="D31" s="100"/>
      <c r="E31" s="100"/>
      <c r="F31" s="100"/>
      <c r="G31" s="100"/>
      <c r="H31" s="100"/>
      <c r="I31" s="125"/>
      <c r="J31" s="125"/>
    </row>
    <row r="32" customFormat="false" ht="15.25" hidden="false" customHeight="false" outlineLevel="0" collapsed="false">
      <c r="A32" s="102" t="s">
        <v>171</v>
      </c>
      <c r="B32" s="102" t="s">
        <v>172</v>
      </c>
      <c r="C32" s="102" t="s">
        <v>173</v>
      </c>
      <c r="D32" s="102" t="s">
        <v>174</v>
      </c>
      <c r="E32" s="102" t="s">
        <v>190</v>
      </c>
      <c r="F32" s="102" t="s">
        <v>191</v>
      </c>
      <c r="G32" s="102" t="s">
        <v>192</v>
      </c>
      <c r="H32" s="102" t="s">
        <v>193</v>
      </c>
      <c r="I32" s="125"/>
      <c r="J32" s="125"/>
    </row>
    <row r="33" customFormat="false" ht="15.25" hidden="false" customHeight="false" outlineLevel="0" collapsed="false">
      <c r="A33" s="105" t="n">
        <v>10</v>
      </c>
      <c r="B33" s="105" t="n">
        <v>10</v>
      </c>
      <c r="C33" s="105" t="n">
        <v>10</v>
      </c>
      <c r="D33" s="105" t="n">
        <f aca="false">(A33+B33+C33)/3</f>
        <v>10</v>
      </c>
      <c r="E33" s="106" t="n">
        <v>0.25</v>
      </c>
      <c r="F33" s="107" t="n">
        <v>4</v>
      </c>
      <c r="G33" s="105" t="n">
        <f aca="false">(D33/F33)/12</f>
        <v>0.208333333333333</v>
      </c>
      <c r="H33" s="105" t="n">
        <f aca="false">G33/4</f>
        <v>0.0520833333333333</v>
      </c>
      <c r="I33" s="140"/>
      <c r="J33" s="125"/>
    </row>
    <row r="34" customFormat="false" ht="14.05" hidden="false" customHeight="false" outlineLevel="0" collapsed="false">
      <c r="I34" s="125"/>
      <c r="J34" s="125"/>
    </row>
    <row r="35" customFormat="false" ht="15.25" hidden="false" customHeight="false" outlineLevel="0" collapsed="false">
      <c r="A35" s="100" t="s">
        <v>201</v>
      </c>
      <c r="B35" s="100"/>
      <c r="C35" s="100"/>
      <c r="D35" s="100"/>
      <c r="E35" s="100"/>
      <c r="F35" s="100"/>
      <c r="G35" s="100"/>
      <c r="H35" s="100"/>
      <c r="I35" s="125"/>
      <c r="J35" s="125"/>
    </row>
    <row r="36" customFormat="false" ht="15.25" hidden="false" customHeight="false" outlineLevel="0" collapsed="false">
      <c r="A36" s="102" t="s">
        <v>171</v>
      </c>
      <c r="B36" s="102" t="s">
        <v>172</v>
      </c>
      <c r="C36" s="102" t="s">
        <v>173</v>
      </c>
      <c r="D36" s="102" t="s">
        <v>174</v>
      </c>
      <c r="E36" s="102" t="s">
        <v>190</v>
      </c>
      <c r="F36" s="102" t="s">
        <v>191</v>
      </c>
      <c r="G36" s="102" t="s">
        <v>192</v>
      </c>
      <c r="H36" s="102" t="s">
        <v>193</v>
      </c>
      <c r="I36" s="125"/>
      <c r="J36" s="125"/>
    </row>
    <row r="37" customFormat="false" ht="15.25" hidden="false" customHeight="false" outlineLevel="0" collapsed="false">
      <c r="A37" s="105" t="n">
        <v>53.02</v>
      </c>
      <c r="B37" s="105" t="n">
        <v>53.02</v>
      </c>
      <c r="C37" s="105" t="n">
        <v>53.02</v>
      </c>
      <c r="D37" s="105" t="n">
        <f aca="false">(A37+B37+C37)/3</f>
        <v>53.02</v>
      </c>
      <c r="E37" s="106" t="n">
        <v>0.25</v>
      </c>
      <c r="F37" s="126" t="n">
        <v>4</v>
      </c>
      <c r="G37" s="105" t="n">
        <f aca="false">(D37/F37)/12</f>
        <v>1.10458333333333</v>
      </c>
      <c r="H37" s="105" t="n">
        <f aca="false">G37/4</f>
        <v>0.276145833333333</v>
      </c>
      <c r="I37" s="140"/>
      <c r="J37" s="125"/>
    </row>
    <row r="38" customFormat="false" ht="14.05" hidden="false" customHeight="false" outlineLevel="0" collapsed="false">
      <c r="I38" s="125"/>
      <c r="J38" s="125"/>
    </row>
    <row r="39" customFormat="false" ht="15.25" hidden="false" customHeight="false" outlineLevel="0" collapsed="false">
      <c r="A39" s="100" t="s">
        <v>202</v>
      </c>
      <c r="B39" s="100"/>
      <c r="C39" s="100"/>
      <c r="D39" s="100"/>
      <c r="E39" s="100"/>
      <c r="F39" s="100"/>
      <c r="G39" s="100"/>
      <c r="H39" s="100"/>
      <c r="I39" s="125"/>
      <c r="J39" s="125"/>
    </row>
    <row r="40" customFormat="false" ht="15.25" hidden="false" customHeight="false" outlineLevel="0" collapsed="false">
      <c r="A40" s="102" t="s">
        <v>171</v>
      </c>
      <c r="B40" s="102" t="s">
        <v>172</v>
      </c>
      <c r="C40" s="102" t="s">
        <v>173</v>
      </c>
      <c r="D40" s="102" t="s">
        <v>174</v>
      </c>
      <c r="E40" s="102" t="s">
        <v>190</v>
      </c>
      <c r="F40" s="102" t="s">
        <v>191</v>
      </c>
      <c r="G40" s="102" t="s">
        <v>192</v>
      </c>
      <c r="H40" s="102" t="s">
        <v>192</v>
      </c>
      <c r="I40" s="125"/>
      <c r="J40" s="125"/>
    </row>
    <row r="41" customFormat="false" ht="15.25" hidden="false" customHeight="false" outlineLevel="0" collapsed="false">
      <c r="A41" s="105" t="n">
        <v>100</v>
      </c>
      <c r="B41" s="105" t="n">
        <v>80</v>
      </c>
      <c r="C41" s="105" t="n">
        <v>100</v>
      </c>
      <c r="D41" s="105" t="n">
        <f aca="false">(A41+B41+C41)/3</f>
        <v>93.3333333333333</v>
      </c>
      <c r="E41" s="106" t="n">
        <v>0.2</v>
      </c>
      <c r="F41" s="107" t="n">
        <v>5</v>
      </c>
      <c r="G41" s="105" t="n">
        <f aca="false">(D41/F41)/12</f>
        <v>1.55555555555556</v>
      </c>
      <c r="H41" s="105" t="n">
        <f aca="false">G41/4</f>
        <v>0.388888888888889</v>
      </c>
      <c r="I41" s="140"/>
      <c r="J41" s="125"/>
    </row>
    <row r="42" customFormat="false" ht="14.05" hidden="false" customHeight="false" outlineLevel="0" collapsed="false">
      <c r="I42" s="125"/>
      <c r="J42" s="125"/>
    </row>
    <row r="43" customFormat="false" ht="15.25" hidden="false" customHeight="false" outlineLevel="0" collapsed="false">
      <c r="A43" s="100" t="s">
        <v>203</v>
      </c>
      <c r="B43" s="100"/>
      <c r="C43" s="100"/>
      <c r="D43" s="100"/>
      <c r="E43" s="100"/>
      <c r="F43" s="100"/>
      <c r="G43" s="100"/>
      <c r="H43" s="100"/>
      <c r="I43" s="125"/>
      <c r="J43" s="125"/>
    </row>
    <row r="44" customFormat="false" ht="15.25" hidden="false" customHeight="false" outlineLevel="0" collapsed="false">
      <c r="A44" s="102" t="s">
        <v>171</v>
      </c>
      <c r="B44" s="102" t="s">
        <v>172</v>
      </c>
      <c r="C44" s="102" t="s">
        <v>173</v>
      </c>
      <c r="D44" s="102" t="s">
        <v>174</v>
      </c>
      <c r="E44" s="102" t="s">
        <v>190</v>
      </c>
      <c r="F44" s="102" t="s">
        <v>191</v>
      </c>
      <c r="G44" s="102" t="s">
        <v>192</v>
      </c>
      <c r="H44" s="102" t="s">
        <v>193</v>
      </c>
      <c r="I44" s="125"/>
      <c r="J44" s="125"/>
    </row>
    <row r="45" customFormat="false" ht="15.25" hidden="false" customHeight="false" outlineLevel="0" collapsed="false">
      <c r="A45" s="105" t="n">
        <v>1100</v>
      </c>
      <c r="B45" s="105" t="n">
        <v>900</v>
      </c>
      <c r="C45" s="105" t="n">
        <v>1200</v>
      </c>
      <c r="D45" s="105" t="n">
        <f aca="false">(A45+B45+C45)/3</f>
        <v>1066.66666666667</v>
      </c>
      <c r="E45" s="106" t="n">
        <v>0.2</v>
      </c>
      <c r="F45" s="107" t="n">
        <v>5</v>
      </c>
      <c r="G45" s="105" t="n">
        <f aca="false">(D45/F45)/12</f>
        <v>17.7777777777778</v>
      </c>
      <c r="H45" s="105" t="n">
        <f aca="false">G45/4</f>
        <v>4.44444444444444</v>
      </c>
      <c r="I45" s="140"/>
      <c r="J45" s="125"/>
    </row>
    <row r="46" customFormat="false" ht="14.05" hidden="false" customHeight="false" outlineLevel="0" collapsed="false">
      <c r="I46" s="125"/>
      <c r="J46" s="125"/>
    </row>
    <row r="47" customFormat="false" ht="15.25" hidden="false" customHeight="false" outlineLevel="0" collapsed="false">
      <c r="A47" s="100" t="s">
        <v>205</v>
      </c>
      <c r="B47" s="100"/>
      <c r="C47" s="100"/>
      <c r="D47" s="100"/>
      <c r="E47" s="100"/>
      <c r="F47" s="100"/>
      <c r="G47" s="100"/>
      <c r="H47" s="100"/>
      <c r="I47" s="125"/>
      <c r="J47" s="125"/>
    </row>
    <row r="48" customFormat="false" ht="15.25" hidden="false" customHeight="false" outlineLevel="0" collapsed="false">
      <c r="A48" s="102" t="s">
        <v>171</v>
      </c>
      <c r="B48" s="102" t="s">
        <v>172</v>
      </c>
      <c r="C48" s="102" t="s">
        <v>173</v>
      </c>
      <c r="D48" s="102" t="s">
        <v>174</v>
      </c>
      <c r="E48" s="102" t="s">
        <v>190</v>
      </c>
      <c r="F48" s="102" t="s">
        <v>191</v>
      </c>
      <c r="G48" s="102" t="s">
        <v>192</v>
      </c>
      <c r="H48" s="102" t="s">
        <v>193</v>
      </c>
      <c r="I48" s="125"/>
      <c r="J48" s="125"/>
    </row>
    <row r="49" customFormat="false" ht="15.25" hidden="false" customHeight="false" outlineLevel="0" collapsed="false">
      <c r="A49" s="105" t="n">
        <v>17</v>
      </c>
      <c r="B49" s="105" t="n">
        <v>17</v>
      </c>
      <c r="C49" s="105" t="n">
        <v>17</v>
      </c>
      <c r="D49" s="105" t="n">
        <f aca="false">(A49+B49+C49)/3</f>
        <v>17</v>
      </c>
      <c r="E49" s="106" t="n">
        <v>0.2</v>
      </c>
      <c r="F49" s="107" t="n">
        <v>5</v>
      </c>
      <c r="G49" s="105" t="n">
        <f aca="false">(D49/F49)/12*3</f>
        <v>0.85</v>
      </c>
      <c r="H49" s="105" t="n">
        <f aca="false">G49/4</f>
        <v>0.2125</v>
      </c>
      <c r="I49" s="140"/>
      <c r="J49" s="125"/>
    </row>
    <row r="50" customFormat="false" ht="15.25" hidden="false" customHeight="false" outlineLevel="0" collapsed="false">
      <c r="A50" s="105"/>
      <c r="B50" s="105"/>
      <c r="C50" s="105"/>
      <c r="D50" s="105"/>
      <c r="E50" s="106"/>
      <c r="F50" s="107"/>
      <c r="G50" s="105"/>
      <c r="H50" s="105"/>
      <c r="I50" s="140"/>
      <c r="J50" s="125"/>
    </row>
    <row r="51" customFormat="false" ht="15.25" hidden="false" customHeight="false" outlineLevel="0" collapsed="false">
      <c r="A51" s="100" t="s">
        <v>228</v>
      </c>
      <c r="B51" s="100"/>
      <c r="C51" s="100"/>
      <c r="D51" s="100"/>
      <c r="E51" s="100"/>
      <c r="F51" s="100"/>
      <c r="G51" s="100"/>
      <c r="H51" s="100"/>
      <c r="I51" s="125"/>
      <c r="J51" s="125"/>
    </row>
    <row r="52" customFormat="false" ht="15.25" hidden="false" customHeight="false" outlineLevel="0" collapsed="false">
      <c r="A52" s="102" t="s">
        <v>171</v>
      </c>
      <c r="B52" s="102" t="s">
        <v>172</v>
      </c>
      <c r="C52" s="102" t="s">
        <v>173</v>
      </c>
      <c r="D52" s="102" t="s">
        <v>174</v>
      </c>
      <c r="E52" s="102" t="s">
        <v>190</v>
      </c>
      <c r="F52" s="102" t="s">
        <v>191</v>
      </c>
      <c r="G52" s="102" t="s">
        <v>192</v>
      </c>
      <c r="H52" s="102" t="s">
        <v>193</v>
      </c>
      <c r="I52" s="125"/>
      <c r="J52" s="125"/>
    </row>
    <row r="53" customFormat="false" ht="15.25" hidden="false" customHeight="false" outlineLevel="0" collapsed="false">
      <c r="A53" s="105" t="n">
        <v>134.98</v>
      </c>
      <c r="B53" s="105" t="n">
        <v>155.4</v>
      </c>
      <c r="C53" s="105" t="n">
        <v>152.6</v>
      </c>
      <c r="D53" s="105" t="n">
        <f aca="false">(A53+B53+C53)/3</f>
        <v>147.66</v>
      </c>
      <c r="E53" s="106" t="n">
        <v>1</v>
      </c>
      <c r="F53" s="107" t="n">
        <v>1</v>
      </c>
      <c r="G53" s="105" t="n">
        <f aca="false">(D53/F53)/12</f>
        <v>12.305</v>
      </c>
      <c r="H53" s="105" t="n">
        <f aca="false">G53/4</f>
        <v>3.07625</v>
      </c>
      <c r="I53" s="125"/>
      <c r="J53" s="125"/>
    </row>
    <row r="54" customFormat="false" ht="15.25" hidden="false" customHeight="false" outlineLevel="0" collapsed="false">
      <c r="A54" s="105"/>
      <c r="B54" s="105"/>
      <c r="C54" s="105"/>
      <c r="D54" s="105"/>
      <c r="E54" s="106"/>
      <c r="F54" s="106"/>
      <c r="G54" s="105"/>
      <c r="H54" s="105"/>
      <c r="I54" s="125"/>
      <c r="J54" s="125"/>
    </row>
    <row r="55" customFormat="false" ht="15.25" hidden="false" customHeight="false" outlineLevel="0" collapsed="false">
      <c r="A55" s="100" t="s">
        <v>206</v>
      </c>
      <c r="B55" s="100"/>
      <c r="C55" s="100"/>
      <c r="D55" s="100"/>
      <c r="E55" s="100"/>
      <c r="F55" s="100"/>
      <c r="G55" s="100"/>
      <c r="H55" s="100"/>
      <c r="I55" s="125"/>
      <c r="J55" s="125"/>
    </row>
    <row r="56" customFormat="false" ht="15.25" hidden="false" customHeight="false" outlineLevel="0" collapsed="false">
      <c r="A56" s="102" t="s">
        <v>171</v>
      </c>
      <c r="B56" s="102" t="s">
        <v>172</v>
      </c>
      <c r="C56" s="102" t="s">
        <v>173</v>
      </c>
      <c r="D56" s="102" t="s">
        <v>174</v>
      </c>
      <c r="E56" s="102" t="s">
        <v>190</v>
      </c>
      <c r="F56" s="102" t="s">
        <v>191</v>
      </c>
      <c r="G56" s="102" t="s">
        <v>192</v>
      </c>
      <c r="H56" s="102" t="s">
        <v>193</v>
      </c>
      <c r="I56" s="125"/>
      <c r="J56" s="125"/>
    </row>
    <row r="57" customFormat="false" ht="15.25" hidden="false" customHeight="false" outlineLevel="0" collapsed="false">
      <c r="A57" s="105" t="n">
        <v>6</v>
      </c>
      <c r="B57" s="105" t="n">
        <v>6</v>
      </c>
      <c r="C57" s="105" t="n">
        <v>6</v>
      </c>
      <c r="D57" s="105" t="n">
        <f aca="false">(A57+B57+C57)/3</f>
        <v>6</v>
      </c>
      <c r="E57" s="106" t="n">
        <v>1</v>
      </c>
      <c r="F57" s="107" t="n">
        <v>1</v>
      </c>
      <c r="G57" s="105" t="n">
        <f aca="false">(D57/F57)/12*12</f>
        <v>6</v>
      </c>
      <c r="H57" s="105" t="n">
        <f aca="false">G57/4</f>
        <v>1.5</v>
      </c>
      <c r="I57" s="125"/>
      <c r="J57" s="125"/>
    </row>
    <row r="58" customFormat="false" ht="15.25" hidden="false" customHeight="false" outlineLevel="0" collapsed="false">
      <c r="A58" s="105"/>
      <c r="B58" s="105"/>
      <c r="C58" s="105"/>
      <c r="D58" s="105"/>
      <c r="E58" s="106"/>
      <c r="F58" s="106"/>
      <c r="G58" s="105"/>
      <c r="H58" s="105"/>
      <c r="I58" s="125"/>
      <c r="J58" s="125"/>
    </row>
    <row r="59" customFormat="false" ht="15.25" hidden="false" customHeight="false" outlineLevel="0" collapsed="false">
      <c r="A59" s="100" t="s">
        <v>226</v>
      </c>
      <c r="B59" s="100"/>
      <c r="C59" s="100"/>
      <c r="D59" s="100"/>
      <c r="E59" s="100"/>
      <c r="F59" s="100"/>
      <c r="G59" s="100"/>
      <c r="H59" s="100"/>
      <c r="I59" s="125"/>
      <c r="J59" s="125"/>
    </row>
    <row r="60" customFormat="false" ht="15.25" hidden="false" customHeight="false" outlineLevel="0" collapsed="false">
      <c r="A60" s="102" t="s">
        <v>171</v>
      </c>
      <c r="B60" s="102" t="s">
        <v>172</v>
      </c>
      <c r="C60" s="102" t="s">
        <v>173</v>
      </c>
      <c r="D60" s="102" t="s">
        <v>174</v>
      </c>
      <c r="E60" s="102" t="s">
        <v>190</v>
      </c>
      <c r="F60" s="102" t="s">
        <v>191</v>
      </c>
      <c r="G60" s="102" t="s">
        <v>192</v>
      </c>
      <c r="H60" s="102" t="s">
        <v>193</v>
      </c>
      <c r="I60" s="125"/>
      <c r="J60" s="125"/>
    </row>
    <row r="61" customFormat="false" ht="15.25" hidden="false" customHeight="false" outlineLevel="0" collapsed="false">
      <c r="A61" s="105" t="n">
        <v>170.1</v>
      </c>
      <c r="B61" s="105" t="n">
        <v>140.7</v>
      </c>
      <c r="C61" s="105" t="n">
        <v>161.9</v>
      </c>
      <c r="D61" s="105" t="n">
        <f aca="false">(A61+B61+C61)/3</f>
        <v>157.566666666667</v>
      </c>
      <c r="E61" s="106" t="n">
        <v>1</v>
      </c>
      <c r="F61" s="107" t="n">
        <v>1</v>
      </c>
      <c r="G61" s="105" t="n">
        <f aca="false">(D61/F61)/12*12</f>
        <v>157.566666666667</v>
      </c>
      <c r="H61" s="105" t="n">
        <f aca="false">G61/4</f>
        <v>39.3916666666667</v>
      </c>
      <c r="I61" s="125"/>
      <c r="J61" s="125"/>
    </row>
    <row r="62" customFormat="false" ht="15.25" hidden="false" customHeight="false" outlineLevel="0" collapsed="false">
      <c r="A62" s="105"/>
      <c r="B62" s="105"/>
      <c r="C62" s="105"/>
      <c r="D62" s="105"/>
      <c r="E62" s="106"/>
      <c r="F62" s="106"/>
      <c r="G62" s="105"/>
      <c r="H62" s="105"/>
      <c r="I62" s="125"/>
      <c r="J62" s="125"/>
    </row>
    <row r="63" customFormat="false" ht="15.25" hidden="false" customHeight="false" outlineLevel="0" collapsed="false">
      <c r="A63" s="100" t="s">
        <v>227</v>
      </c>
      <c r="B63" s="100"/>
      <c r="C63" s="100"/>
      <c r="D63" s="100"/>
      <c r="E63" s="100"/>
      <c r="F63" s="100"/>
      <c r="G63" s="100"/>
      <c r="H63" s="100"/>
      <c r="I63" s="125"/>
      <c r="J63" s="125"/>
    </row>
    <row r="64" customFormat="false" ht="15.25" hidden="false" customHeight="false" outlineLevel="0" collapsed="false">
      <c r="A64" s="102" t="s">
        <v>171</v>
      </c>
      <c r="B64" s="102" t="s">
        <v>172</v>
      </c>
      <c r="C64" s="102" t="s">
        <v>173</v>
      </c>
      <c r="D64" s="102" t="s">
        <v>174</v>
      </c>
      <c r="E64" s="102" t="s">
        <v>190</v>
      </c>
      <c r="F64" s="102" t="s">
        <v>191</v>
      </c>
      <c r="G64" s="102" t="s">
        <v>192</v>
      </c>
      <c r="H64" s="102" t="s">
        <v>193</v>
      </c>
      <c r="I64" s="125"/>
      <c r="J64" s="125"/>
    </row>
    <row r="65" customFormat="false" ht="15.25" hidden="false" customHeight="false" outlineLevel="0" collapsed="false">
      <c r="A65" s="105" t="n">
        <v>170</v>
      </c>
      <c r="B65" s="105" t="n">
        <v>210</v>
      </c>
      <c r="C65" s="105" t="n">
        <v>185</v>
      </c>
      <c r="D65" s="105" t="n">
        <f aca="false">(A65+B65+C65)/3</f>
        <v>188.333333333333</v>
      </c>
      <c r="E65" s="106" t="n">
        <v>1</v>
      </c>
      <c r="F65" s="107" t="n">
        <v>1</v>
      </c>
      <c r="G65" s="105" t="n">
        <f aca="false">(D65/F65)/12*24</f>
        <v>376.666666666667</v>
      </c>
      <c r="H65" s="105" t="n">
        <f aca="false">G65/4</f>
        <v>94.1666666666667</v>
      </c>
      <c r="I65" s="125"/>
      <c r="J65" s="125"/>
    </row>
    <row r="66" customFormat="false" ht="15.25" hidden="false" customHeight="false" outlineLevel="0" collapsed="false">
      <c r="A66" s="105"/>
      <c r="B66" s="105"/>
      <c r="C66" s="105"/>
      <c r="D66" s="105"/>
      <c r="E66" s="106"/>
      <c r="F66" s="106"/>
      <c r="G66" s="105"/>
      <c r="H66" s="105"/>
      <c r="I66" s="125"/>
      <c r="J66" s="125"/>
    </row>
    <row r="67" customFormat="false" ht="15.25" hidden="false" customHeight="false" outlineLevel="0" collapsed="false">
      <c r="A67" s="100" t="s">
        <v>208</v>
      </c>
      <c r="B67" s="100"/>
      <c r="C67" s="100"/>
      <c r="D67" s="100"/>
      <c r="E67" s="100"/>
      <c r="F67" s="100"/>
      <c r="G67" s="100"/>
      <c r="H67" s="100"/>
      <c r="I67" s="125"/>
      <c r="J67" s="125"/>
    </row>
    <row r="68" customFormat="false" ht="15.25" hidden="false" customHeight="false" outlineLevel="0" collapsed="false">
      <c r="A68" s="102" t="s">
        <v>171</v>
      </c>
      <c r="B68" s="102" t="s">
        <v>172</v>
      </c>
      <c r="C68" s="102" t="s">
        <v>173</v>
      </c>
      <c r="D68" s="102" t="s">
        <v>174</v>
      </c>
      <c r="E68" s="102" t="s">
        <v>190</v>
      </c>
      <c r="F68" s="102" t="s">
        <v>191</v>
      </c>
      <c r="G68" s="102" t="s">
        <v>192</v>
      </c>
      <c r="H68" s="102" t="s">
        <v>193</v>
      </c>
      <c r="I68" s="125"/>
      <c r="J68" s="125"/>
    </row>
    <row r="69" customFormat="false" ht="15.25" hidden="false" customHeight="false" outlineLevel="0" collapsed="false">
      <c r="A69" s="105" t="n">
        <v>15</v>
      </c>
      <c r="B69" s="105" t="n">
        <v>15</v>
      </c>
      <c r="C69" s="105" t="n">
        <v>15</v>
      </c>
      <c r="D69" s="105" t="n">
        <f aca="false">(A69+B69+C69)/3</f>
        <v>15</v>
      </c>
      <c r="E69" s="106" t="n">
        <v>1</v>
      </c>
      <c r="F69" s="107" t="n">
        <v>1</v>
      </c>
      <c r="G69" s="105" t="n">
        <f aca="false">(D69/F69)/12*24</f>
        <v>30</v>
      </c>
      <c r="H69" s="105" t="n">
        <f aca="false">G69/4</f>
        <v>7.5</v>
      </c>
      <c r="I69" s="125"/>
      <c r="J69" s="125"/>
    </row>
    <row r="70" customFormat="false" ht="15.25" hidden="false" customHeight="false" outlineLevel="0" collapsed="false">
      <c r="A70" s="105"/>
      <c r="B70" s="105"/>
      <c r="C70" s="105"/>
      <c r="D70" s="105"/>
      <c r="E70" s="106"/>
      <c r="F70" s="106"/>
      <c r="G70" s="105"/>
      <c r="H70" s="105"/>
      <c r="I70" s="125"/>
      <c r="J70" s="125"/>
    </row>
    <row r="71" customFormat="false" ht="15.25" hidden="false" customHeight="false" outlineLevel="0" collapsed="false">
      <c r="A71" s="100" t="s">
        <v>210</v>
      </c>
      <c r="B71" s="100"/>
      <c r="C71" s="100"/>
      <c r="D71" s="100"/>
      <c r="E71" s="100"/>
      <c r="F71" s="100"/>
      <c r="G71" s="100"/>
      <c r="H71" s="100"/>
      <c r="I71" s="125"/>
      <c r="J71" s="125"/>
    </row>
    <row r="72" customFormat="false" ht="15.25" hidden="false" customHeight="false" outlineLevel="0" collapsed="false">
      <c r="A72" s="102" t="s">
        <v>171</v>
      </c>
      <c r="B72" s="102" t="s">
        <v>172</v>
      </c>
      <c r="C72" s="102" t="s">
        <v>173</v>
      </c>
      <c r="D72" s="102" t="s">
        <v>174</v>
      </c>
      <c r="E72" s="102" t="s">
        <v>190</v>
      </c>
      <c r="F72" s="102" t="s">
        <v>191</v>
      </c>
      <c r="G72" s="102" t="s">
        <v>192</v>
      </c>
      <c r="H72" s="102" t="s">
        <v>193</v>
      </c>
      <c r="I72" s="125"/>
      <c r="J72" s="125"/>
    </row>
    <row r="73" customFormat="false" ht="15.25" hidden="false" customHeight="false" outlineLevel="0" collapsed="false">
      <c r="A73" s="105" t="n">
        <v>10</v>
      </c>
      <c r="B73" s="105" t="n">
        <v>10</v>
      </c>
      <c r="C73" s="105" t="n">
        <v>10</v>
      </c>
      <c r="D73" s="105" t="n">
        <f aca="false">(A73+B73+C73)/3</f>
        <v>10</v>
      </c>
      <c r="E73" s="106" t="n">
        <v>1</v>
      </c>
      <c r="F73" s="107" t="n">
        <v>1</v>
      </c>
      <c r="G73" s="105" t="n">
        <f aca="false">(D73/F73)/12*12</f>
        <v>10</v>
      </c>
      <c r="H73" s="105" t="n">
        <f aca="false">G73/4</f>
        <v>2.5</v>
      </c>
      <c r="I73" s="125"/>
      <c r="J73" s="125"/>
    </row>
    <row r="74" customFormat="false" ht="15.25" hidden="false" customHeight="false" outlineLevel="0" collapsed="false">
      <c r="A74" s="105"/>
      <c r="B74" s="105"/>
      <c r="C74" s="105"/>
      <c r="D74" s="105"/>
      <c r="E74" s="106"/>
      <c r="F74" s="106"/>
      <c r="G74" s="105"/>
      <c r="H74" s="105"/>
      <c r="I74" s="125"/>
      <c r="J74" s="125"/>
    </row>
    <row r="75" customFormat="false" ht="15.25" hidden="false" customHeight="false" outlineLevel="0" collapsed="false">
      <c r="A75" s="100" t="s">
        <v>212</v>
      </c>
      <c r="B75" s="100"/>
      <c r="C75" s="100"/>
      <c r="D75" s="100"/>
      <c r="E75" s="100"/>
      <c r="F75" s="100"/>
      <c r="G75" s="100"/>
      <c r="H75" s="100"/>
      <c r="I75" s="125"/>
      <c r="J75" s="125"/>
    </row>
    <row r="76" customFormat="false" ht="15.25" hidden="false" customHeight="false" outlineLevel="0" collapsed="false">
      <c r="A76" s="102" t="s">
        <v>171</v>
      </c>
      <c r="B76" s="102" t="s">
        <v>172</v>
      </c>
      <c r="C76" s="102" t="s">
        <v>173</v>
      </c>
      <c r="D76" s="102" t="s">
        <v>174</v>
      </c>
      <c r="E76" s="102" t="s">
        <v>190</v>
      </c>
      <c r="F76" s="102" t="s">
        <v>191</v>
      </c>
      <c r="G76" s="102" t="s">
        <v>192</v>
      </c>
      <c r="H76" s="102" t="s">
        <v>193</v>
      </c>
      <c r="I76" s="125"/>
      <c r="J76" s="125"/>
    </row>
    <row r="77" customFormat="false" ht="15.25" hidden="false" customHeight="false" outlineLevel="0" collapsed="false">
      <c r="A77" s="105" t="n">
        <v>25</v>
      </c>
      <c r="B77" s="105" t="n">
        <v>25</v>
      </c>
      <c r="C77" s="105" t="n">
        <v>25</v>
      </c>
      <c r="D77" s="105" t="n">
        <f aca="false">(A77+B77+C77)/3</f>
        <v>25</v>
      </c>
      <c r="E77" s="106" t="n">
        <v>1</v>
      </c>
      <c r="F77" s="107" t="n">
        <v>1</v>
      </c>
      <c r="G77" s="105" t="n">
        <f aca="false">(D77/F77)/12*12</f>
        <v>25</v>
      </c>
      <c r="H77" s="105" t="n">
        <f aca="false">G77/4</f>
        <v>6.25</v>
      </c>
      <c r="I77" s="125"/>
      <c r="J77" s="125"/>
    </row>
    <row r="78" customFormat="false" ht="15.25" hidden="false" customHeight="false" outlineLevel="0" collapsed="false">
      <c r="A78" s="105"/>
      <c r="B78" s="105"/>
      <c r="C78" s="105"/>
      <c r="D78" s="105"/>
      <c r="E78" s="106"/>
      <c r="F78" s="106"/>
      <c r="G78" s="105"/>
      <c r="H78" s="105"/>
      <c r="I78" s="125"/>
      <c r="J78" s="125"/>
    </row>
    <row r="79" customFormat="false" ht="15.25" hidden="false" customHeight="false" outlineLevel="0" collapsed="false">
      <c r="A79" s="100" t="s">
        <v>213</v>
      </c>
      <c r="B79" s="100"/>
      <c r="C79" s="100"/>
      <c r="D79" s="100"/>
      <c r="E79" s="100"/>
      <c r="F79" s="100"/>
      <c r="G79" s="100"/>
      <c r="H79" s="100"/>
      <c r="I79" s="125"/>
      <c r="J79" s="125"/>
    </row>
    <row r="80" customFormat="false" ht="15.25" hidden="false" customHeight="false" outlineLevel="0" collapsed="false">
      <c r="A80" s="102" t="s">
        <v>171</v>
      </c>
      <c r="B80" s="102" t="s">
        <v>172</v>
      </c>
      <c r="C80" s="102" t="s">
        <v>173</v>
      </c>
      <c r="D80" s="102" t="s">
        <v>174</v>
      </c>
      <c r="E80" s="102" t="s">
        <v>190</v>
      </c>
      <c r="F80" s="102" t="s">
        <v>191</v>
      </c>
      <c r="G80" s="102" t="s">
        <v>192</v>
      </c>
      <c r="H80" s="102" t="s">
        <v>193</v>
      </c>
      <c r="I80" s="125"/>
      <c r="J80" s="125"/>
    </row>
    <row r="81" customFormat="false" ht="15.25" hidden="false" customHeight="false" outlineLevel="0" collapsed="false">
      <c r="A81" s="105" t="n">
        <v>50</v>
      </c>
      <c r="B81" s="105" t="n">
        <v>35</v>
      </c>
      <c r="C81" s="105" t="n">
        <v>45</v>
      </c>
      <c r="D81" s="105" t="n">
        <f aca="false">(A81+B81+C81)/3</f>
        <v>43.3333333333333</v>
      </c>
      <c r="E81" s="106" t="n">
        <v>1</v>
      </c>
      <c r="F81" s="107" t="n">
        <v>1</v>
      </c>
      <c r="G81" s="105" t="n">
        <f aca="false">(D81/F81)/12*12</f>
        <v>43.3333333333333</v>
      </c>
      <c r="H81" s="105" t="n">
        <f aca="false">G81/4</f>
        <v>10.8333333333333</v>
      </c>
      <c r="I81" s="125"/>
      <c r="J81" s="125"/>
    </row>
    <row r="82" customFormat="false" ht="15.25" hidden="false" customHeight="false" outlineLevel="0" collapsed="false">
      <c r="A82" s="105"/>
      <c r="B82" s="105"/>
      <c r="C82" s="105"/>
      <c r="D82" s="105"/>
      <c r="E82" s="106"/>
      <c r="F82" s="106"/>
      <c r="G82" s="105"/>
      <c r="H82" s="105"/>
      <c r="I82" s="125"/>
      <c r="J82" s="125"/>
    </row>
    <row r="83" customFormat="false" ht="15.25" hidden="false" customHeight="false" outlineLevel="0" collapsed="false">
      <c r="A83" s="100" t="s">
        <v>267</v>
      </c>
      <c r="B83" s="100"/>
      <c r="C83" s="100"/>
      <c r="D83" s="100"/>
      <c r="E83" s="100"/>
      <c r="F83" s="100"/>
      <c r="G83" s="100"/>
      <c r="H83" s="100"/>
      <c r="I83" s="125"/>
      <c r="J83" s="125"/>
    </row>
    <row r="84" customFormat="false" ht="15.25" hidden="false" customHeight="false" outlineLevel="0" collapsed="false">
      <c r="A84" s="102" t="s">
        <v>171</v>
      </c>
      <c r="B84" s="102" t="s">
        <v>172</v>
      </c>
      <c r="C84" s="102" t="s">
        <v>173</v>
      </c>
      <c r="D84" s="102" t="s">
        <v>174</v>
      </c>
      <c r="E84" s="102" t="s">
        <v>190</v>
      </c>
      <c r="F84" s="102" t="s">
        <v>191</v>
      </c>
      <c r="G84" s="102" t="s">
        <v>192</v>
      </c>
      <c r="H84" s="102" t="s">
        <v>193</v>
      </c>
      <c r="I84" s="125"/>
      <c r="J84" s="125"/>
    </row>
    <row r="85" customFormat="false" ht="15.25" hidden="false" customHeight="false" outlineLevel="0" collapsed="false">
      <c r="A85" s="105" t="n">
        <v>280</v>
      </c>
      <c r="B85" s="105" t="n">
        <v>350</v>
      </c>
      <c r="C85" s="105" t="n">
        <v>320</v>
      </c>
      <c r="D85" s="105" t="n">
        <f aca="false">(A85+B85+C85)/3</f>
        <v>316.666666666667</v>
      </c>
      <c r="E85" s="106" t="n">
        <v>1</v>
      </c>
      <c r="F85" s="107" t="n">
        <v>1</v>
      </c>
      <c r="G85" s="105" t="n">
        <f aca="false">(D85/F85)/12*12</f>
        <v>316.666666666667</v>
      </c>
      <c r="H85" s="105" t="n">
        <f aca="false">G85/4</f>
        <v>79.1666666666667</v>
      </c>
      <c r="I85" s="125"/>
      <c r="J85" s="125"/>
    </row>
    <row r="86" customFormat="false" ht="15.25" hidden="false" customHeight="false" outlineLevel="0" collapsed="false">
      <c r="A86" s="105"/>
      <c r="B86" s="105"/>
      <c r="C86" s="105"/>
      <c r="D86" s="105"/>
      <c r="E86" s="106"/>
      <c r="F86" s="106"/>
      <c r="G86" s="105"/>
      <c r="H86" s="105"/>
      <c r="I86" s="125"/>
      <c r="J86" s="125"/>
    </row>
    <row r="87" customFormat="false" ht="15.25" hidden="false" customHeight="false" outlineLevel="0" collapsed="false">
      <c r="A87" s="100" t="s">
        <v>215</v>
      </c>
      <c r="B87" s="100"/>
      <c r="C87" s="100"/>
      <c r="D87" s="100"/>
      <c r="E87" s="100"/>
      <c r="F87" s="100"/>
      <c r="G87" s="100"/>
      <c r="H87" s="100"/>
      <c r="I87" s="125"/>
      <c r="J87" s="125"/>
    </row>
    <row r="88" customFormat="false" ht="15.25" hidden="false" customHeight="false" outlineLevel="0" collapsed="false">
      <c r="A88" s="102" t="s">
        <v>171</v>
      </c>
      <c r="B88" s="102" t="s">
        <v>172</v>
      </c>
      <c r="C88" s="102" t="s">
        <v>173</v>
      </c>
      <c r="D88" s="102" t="s">
        <v>174</v>
      </c>
      <c r="E88" s="102" t="s">
        <v>190</v>
      </c>
      <c r="F88" s="102" t="s">
        <v>191</v>
      </c>
      <c r="G88" s="102" t="s">
        <v>192</v>
      </c>
      <c r="H88" s="102" t="s">
        <v>193</v>
      </c>
      <c r="I88" s="125"/>
      <c r="J88" s="125"/>
    </row>
    <row r="89" customFormat="false" ht="15.25" hidden="false" customHeight="false" outlineLevel="0" collapsed="false">
      <c r="A89" s="105" t="n">
        <v>6</v>
      </c>
      <c r="B89" s="105" t="n">
        <v>6</v>
      </c>
      <c r="C89" s="105" t="n">
        <v>6</v>
      </c>
      <c r="D89" s="105" t="n">
        <f aca="false">(A89+B89+C89)/3</f>
        <v>6</v>
      </c>
      <c r="E89" s="106" t="n">
        <v>1</v>
      </c>
      <c r="F89" s="107" t="n">
        <v>1</v>
      </c>
      <c r="G89" s="105" t="n">
        <f aca="false">(D89/12)*24</f>
        <v>12</v>
      </c>
      <c r="H89" s="105" t="n">
        <f aca="false">G89/4</f>
        <v>3</v>
      </c>
      <c r="I89" s="125"/>
      <c r="J89" s="125"/>
    </row>
    <row r="90" customFormat="false" ht="15.25" hidden="false" customHeight="false" outlineLevel="0" collapsed="false">
      <c r="A90" s="105"/>
      <c r="B90" s="105"/>
      <c r="C90" s="105"/>
      <c r="D90" s="105"/>
      <c r="E90" s="106"/>
      <c r="F90" s="106"/>
      <c r="G90" s="105"/>
      <c r="H90" s="105"/>
      <c r="I90" s="125"/>
      <c r="J90" s="125"/>
    </row>
    <row r="91" customFormat="false" ht="15.25" hidden="false" customHeight="false" outlineLevel="0" collapsed="false">
      <c r="A91" s="100" t="s">
        <v>230</v>
      </c>
      <c r="B91" s="100"/>
      <c r="C91" s="100"/>
      <c r="D91" s="100"/>
      <c r="E91" s="100"/>
      <c r="F91" s="100"/>
      <c r="G91" s="100"/>
      <c r="H91" s="100"/>
      <c r="I91" s="125"/>
      <c r="J91" s="125"/>
    </row>
    <row r="92" customFormat="false" ht="15.25" hidden="false" customHeight="false" outlineLevel="0" collapsed="false">
      <c r="A92" s="102" t="s">
        <v>171</v>
      </c>
      <c r="B92" s="102" t="s">
        <v>172</v>
      </c>
      <c r="C92" s="102" t="s">
        <v>173</v>
      </c>
      <c r="D92" s="102" t="s">
        <v>174</v>
      </c>
      <c r="E92" s="102" t="s">
        <v>190</v>
      </c>
      <c r="F92" s="102" t="s">
        <v>191</v>
      </c>
      <c r="G92" s="102" t="s">
        <v>192</v>
      </c>
      <c r="H92" s="102" t="s">
        <v>193</v>
      </c>
      <c r="I92" s="125"/>
      <c r="J92" s="125"/>
    </row>
    <row r="93" customFormat="false" ht="15.25" hidden="false" customHeight="false" outlineLevel="0" collapsed="false">
      <c r="A93" s="105" t="n">
        <v>330</v>
      </c>
      <c r="B93" s="105" t="n">
        <v>505</v>
      </c>
      <c r="C93" s="105" t="n">
        <v>450</v>
      </c>
      <c r="D93" s="105" t="n">
        <f aca="false">(A93+B93+C93)/3</f>
        <v>428.333333333333</v>
      </c>
      <c r="E93" s="106" t="n">
        <v>1</v>
      </c>
      <c r="F93" s="107" t="n">
        <v>1</v>
      </c>
      <c r="G93" s="105" t="n">
        <f aca="false">(D93/F93)/12*12</f>
        <v>428.333333333333</v>
      </c>
      <c r="H93" s="105" t="n">
        <f aca="false">G93/4</f>
        <v>107.083333333333</v>
      </c>
      <c r="I93" s="125"/>
      <c r="J93" s="125"/>
    </row>
    <row r="94" customFormat="false" ht="15.25" hidden="false" customHeight="false" outlineLevel="0" collapsed="false">
      <c r="A94" s="105"/>
      <c r="B94" s="105"/>
      <c r="C94" s="105"/>
      <c r="D94" s="105"/>
      <c r="E94" s="106"/>
      <c r="F94" s="107"/>
      <c r="G94" s="105"/>
      <c r="H94" s="105"/>
      <c r="I94" s="125"/>
      <c r="J94" s="125"/>
    </row>
    <row r="95" customFormat="false" ht="15.25" hidden="false" customHeight="false" outlineLevel="0" collapsed="false">
      <c r="A95" s="127" t="s">
        <v>268</v>
      </c>
      <c r="B95" s="127"/>
      <c r="C95" s="127"/>
      <c r="D95" s="127"/>
      <c r="E95" s="127"/>
      <c r="F95" s="127"/>
      <c r="G95" s="114" t="n">
        <f aca="false">(G5+G9+G13+G17+G21+G25+G29+G33+G37+G41+G45+G49+G53+G57+G61+G65+G69+G73+G77+G81+G85+G89+G93)-G21</f>
        <v>1488.84911111111</v>
      </c>
      <c r="H95" s="114" t="n">
        <f aca="false">(H5+H9+H13+H17+H21+H25+H29+H33+H37+H41+H45+H49+H53+H57+H61+H65+H69+H73+H77+H81+H85+H89+H93)-H21</f>
        <v>372.212277777778</v>
      </c>
      <c r="I95" s="140"/>
      <c r="J95" s="125"/>
    </row>
    <row r="96" customFormat="false" ht="15.25" hidden="false" customHeight="false" outlineLevel="0" collapsed="false">
      <c r="A96" s="137" t="s">
        <v>269</v>
      </c>
      <c r="B96" s="105"/>
      <c r="C96" s="105"/>
      <c r="D96" s="105"/>
      <c r="E96" s="106"/>
      <c r="F96" s="106"/>
      <c r="G96" s="137" t="n">
        <f aca="false">G21</f>
        <v>36.96</v>
      </c>
      <c r="H96" s="137" t="n">
        <f aca="false">H21</f>
        <v>9.24</v>
      </c>
      <c r="I96" s="125"/>
      <c r="J96" s="125"/>
    </row>
    <row r="97" customFormat="false" ht="15.25" hidden="false" customHeight="false" outlineLevel="0" collapsed="false">
      <c r="A97" s="137"/>
      <c r="B97" s="105"/>
      <c r="C97" s="105"/>
      <c r="D97" s="105"/>
      <c r="E97" s="106"/>
      <c r="F97" s="106"/>
      <c r="G97" s="137"/>
      <c r="H97" s="137"/>
      <c r="I97" s="125"/>
      <c r="J97" s="125"/>
    </row>
    <row r="98" customFormat="false" ht="15.25" hidden="false" customHeight="false" outlineLevel="0" collapsed="false">
      <c r="A98" s="100" t="s">
        <v>232</v>
      </c>
      <c r="B98" s="100"/>
      <c r="C98" s="100"/>
      <c r="D98" s="100"/>
      <c r="E98" s="100"/>
      <c r="F98" s="100"/>
      <c r="G98" s="100"/>
      <c r="H98" s="100"/>
      <c r="I98" s="125"/>
      <c r="J98" s="125"/>
    </row>
    <row r="99" customFormat="false" ht="15.25" hidden="false" customHeight="false" outlineLevel="0" collapsed="false">
      <c r="A99" s="102" t="s">
        <v>171</v>
      </c>
      <c r="B99" s="102" t="s">
        <v>172</v>
      </c>
      <c r="C99" s="102" t="s">
        <v>173</v>
      </c>
      <c r="D99" s="102" t="s">
        <v>174</v>
      </c>
      <c r="E99" s="102" t="s">
        <v>190</v>
      </c>
      <c r="F99" s="102" t="s">
        <v>191</v>
      </c>
      <c r="G99" s="102" t="s">
        <v>192</v>
      </c>
      <c r="H99" s="102" t="s">
        <v>193</v>
      </c>
      <c r="I99" s="125"/>
      <c r="J99" s="125"/>
    </row>
    <row r="100" customFormat="false" ht="15.25" hidden="false" customHeight="false" outlineLevel="0" collapsed="false">
      <c r="A100" s="105" t="n">
        <v>10810</v>
      </c>
      <c r="B100" s="105" t="n">
        <v>10810</v>
      </c>
      <c r="C100" s="105" t="n">
        <v>10810</v>
      </c>
      <c r="D100" s="105" t="n">
        <f aca="false">(A100+B100+C100)/3</f>
        <v>10810</v>
      </c>
      <c r="E100" s="106" t="n">
        <v>0.25</v>
      </c>
      <c r="F100" s="107" t="n">
        <v>4</v>
      </c>
      <c r="G100" s="105" t="n">
        <f aca="false">(D100/F100)/12</f>
        <v>225.208333333333</v>
      </c>
      <c r="H100" s="105" t="n">
        <f aca="false">G100/4</f>
        <v>56.3020833333333</v>
      </c>
      <c r="I100" s="140"/>
      <c r="J100" s="125"/>
    </row>
    <row r="101" customFormat="false" ht="15.25" hidden="false" customHeight="false" outlineLevel="0" collapsed="false">
      <c r="A101" s="105"/>
      <c r="B101" s="105"/>
      <c r="C101" s="105"/>
      <c r="D101" s="105"/>
      <c r="E101" s="106"/>
      <c r="F101" s="106"/>
      <c r="G101" s="105"/>
      <c r="H101" s="105"/>
      <c r="I101" s="125"/>
      <c r="J101" s="125"/>
    </row>
    <row r="102" customFormat="false" ht="15.25" hidden="false" customHeight="false" outlineLevel="0" collapsed="false">
      <c r="A102" s="100" t="s">
        <v>233</v>
      </c>
      <c r="B102" s="100"/>
      <c r="C102" s="100"/>
      <c r="D102" s="100"/>
      <c r="E102" s="100"/>
      <c r="F102" s="100"/>
      <c r="G102" s="100"/>
      <c r="H102" s="100"/>
      <c r="I102" s="125"/>
      <c r="J102" s="125"/>
    </row>
    <row r="103" customFormat="false" ht="29.85" hidden="false" customHeight="false" outlineLevel="0" collapsed="false">
      <c r="A103" s="102" t="s">
        <v>171</v>
      </c>
      <c r="B103" s="102" t="s">
        <v>172</v>
      </c>
      <c r="C103" s="102" t="s">
        <v>173</v>
      </c>
      <c r="D103" s="102" t="s">
        <v>174</v>
      </c>
      <c r="E103" s="128" t="s">
        <v>234</v>
      </c>
      <c r="F103" s="128"/>
      <c r="G103" s="102" t="s">
        <v>192</v>
      </c>
      <c r="H103" s="128" t="s">
        <v>235</v>
      </c>
      <c r="I103" s="125"/>
      <c r="J103" s="125"/>
    </row>
    <row r="104" customFormat="false" ht="15.25" hidden="false" customHeight="false" outlineLevel="0" collapsed="false">
      <c r="A104" s="105" t="n">
        <v>3.84</v>
      </c>
      <c r="B104" s="105" t="n">
        <v>3.84</v>
      </c>
      <c r="C104" s="105" t="n">
        <v>3.84</v>
      </c>
      <c r="D104" s="105" t="n">
        <f aca="false">(A104+B104+C104)/3</f>
        <v>3.84</v>
      </c>
      <c r="E104" s="141" t="s">
        <v>236</v>
      </c>
      <c r="F104" s="141"/>
      <c r="G104" s="130" t="n">
        <f aca="false">D104*150</f>
        <v>576</v>
      </c>
      <c r="H104" s="105" t="n">
        <f aca="false">G104/4</f>
        <v>144</v>
      </c>
      <c r="I104" s="140"/>
      <c r="J104" s="125"/>
    </row>
    <row r="105" customFormat="false" ht="14.05" hidden="false" customHeight="false" outlineLevel="0" collapsed="false">
      <c r="A105" s="131" t="s">
        <v>237</v>
      </c>
      <c r="B105" s="131"/>
      <c r="C105" s="131"/>
      <c r="D105" s="131"/>
      <c r="E105" s="131"/>
      <c r="F105" s="131"/>
      <c r="G105" s="131"/>
      <c r="H105" s="131"/>
      <c r="I105" s="125"/>
      <c r="J105" s="125"/>
    </row>
    <row r="106" customFormat="false" ht="14.05" hidden="false" customHeight="false" outlineLevel="0" collapsed="false">
      <c r="A106" s="132" t="s">
        <v>270</v>
      </c>
      <c r="B106" s="132"/>
      <c r="C106" s="132"/>
      <c r="D106" s="132"/>
      <c r="E106" s="132"/>
      <c r="F106" s="132"/>
      <c r="G106" s="132"/>
      <c r="H106" s="132"/>
      <c r="I106" s="125"/>
      <c r="J106" s="125"/>
    </row>
    <row r="108" customFormat="false" ht="15.25" hidden="false" customHeight="false" outlineLevel="0" collapsed="false">
      <c r="A108" s="118" t="s">
        <v>271</v>
      </c>
      <c r="B108" s="118"/>
      <c r="C108" s="118"/>
      <c r="D108" s="118"/>
      <c r="E108" s="118"/>
      <c r="F108" s="118"/>
      <c r="G108" s="119" t="n">
        <f aca="false">(G5+G9+G13+G17+G21+G25+G29+G33+G37+G41+G45+G49+G53)-(G21)</f>
        <v>83.2824444444445</v>
      </c>
      <c r="H108" s="119" t="n">
        <f aca="false">(H5+H9+H13+H17+H21+H25+H29+H33+H37+H41+H45+H49+H53)-(H21)</f>
        <v>20.8206111111111</v>
      </c>
    </row>
    <row r="110" customFormat="false" ht="15.25" hidden="false" customHeight="false" outlineLevel="0" collapsed="false">
      <c r="A110" s="120" t="s">
        <v>272</v>
      </c>
      <c r="B110" s="120"/>
      <c r="C110" s="120"/>
      <c r="D110" s="120"/>
      <c r="E110" s="120"/>
      <c r="F110" s="120"/>
      <c r="G110" s="121" t="n">
        <f aca="false">(G57+G61+G65+G69+G73+G77+G81+G85+G89+G93)</f>
        <v>1405.56666666667</v>
      </c>
      <c r="H110" s="121" t="n">
        <f aca="false">(H57+H61+H65+H69+H73+H77+H81+H85+H89+H93)</f>
        <v>351.391666666667</v>
      </c>
    </row>
    <row r="112" customFormat="false" ht="15.25" hidden="false" customHeight="false" outlineLevel="0" collapsed="false">
      <c r="A112" s="122" t="s">
        <v>273</v>
      </c>
      <c r="B112" s="122"/>
      <c r="C112" s="122"/>
      <c r="D112" s="122"/>
      <c r="E112" s="122"/>
      <c r="F112" s="122"/>
      <c r="G112" s="123" t="n">
        <v>792</v>
      </c>
      <c r="H112" s="123" t="n">
        <f aca="false">G112/4</f>
        <v>198</v>
      </c>
    </row>
    <row r="114" customFormat="false" ht="13.9" hidden="false" customHeight="true" outlineLevel="0" collapsed="false">
      <c r="A114" s="124" t="s">
        <v>242</v>
      </c>
      <c r="B114" s="124"/>
      <c r="C114" s="124"/>
      <c r="D114" s="124"/>
      <c r="E114" s="124"/>
      <c r="F114" s="124"/>
      <c r="G114" s="124"/>
      <c r="H114" s="124"/>
    </row>
    <row r="115" customFormat="false" ht="19.35" hidden="false" customHeight="true" outlineLevel="0" collapsed="false"/>
  </sheetData>
  <mergeCells count="34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H59"/>
    <mergeCell ref="A63:H63"/>
    <mergeCell ref="A67:H67"/>
    <mergeCell ref="A71:H71"/>
    <mergeCell ref="A75:H75"/>
    <mergeCell ref="A79:H79"/>
    <mergeCell ref="A83:H83"/>
    <mergeCell ref="A87:H87"/>
    <mergeCell ref="A91:H91"/>
    <mergeCell ref="A95:F95"/>
    <mergeCell ref="A98:H98"/>
    <mergeCell ref="A102:H102"/>
    <mergeCell ref="A105:H105"/>
    <mergeCell ref="A106:H106"/>
    <mergeCell ref="A108:F108"/>
    <mergeCell ref="A110:F110"/>
    <mergeCell ref="A112:F112"/>
    <mergeCell ref="A114:H11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87"/>
  <sheetViews>
    <sheetView windowProtection="false" showFormulas="false" showGridLines="true" showRowColHeaders="true" showZeros="true" rightToLeft="false" tabSelected="false" showOutlineSymbols="true" defaultGridColor="true" view="normal" topLeftCell="A58" colorId="64" zoomScale="60" zoomScaleNormal="60" zoomScalePageLayoutView="100" workbookViewId="0">
      <selection pane="topLeft" activeCell="A1" activeCellId="0" sqref="A1"/>
    </sheetView>
  </sheetViews>
  <sheetFormatPr defaultRowHeight="14.05"/>
  <cols>
    <col collapsed="false" hidden="false" max="1" min="1" style="0" width="29.7813953488372"/>
    <col collapsed="false" hidden="false" max="2" min="2" style="0" width="18.2139534883721"/>
    <col collapsed="false" hidden="false" max="3" min="3" style="0" width="18.4604651162791"/>
    <col collapsed="false" hidden="false" max="4" min="4" style="0" width="19.9348837209302"/>
    <col collapsed="false" hidden="false" max="5" min="5" style="0" width="27.8139534883721"/>
    <col collapsed="false" hidden="false" max="6" min="6" style="0" width="43.0697674418605"/>
    <col collapsed="false" hidden="false" max="7" min="7" style="0" width="23.506976744186"/>
    <col collapsed="false" hidden="false" max="8" min="8" style="0" width="27.1953488372093"/>
    <col collapsed="false" hidden="false" max="9" min="9" style="0" width="25.7209302325581"/>
    <col collapsed="false" hidden="false" max="1025" min="10" style="0" width="11.5674418604651"/>
  </cols>
  <sheetData>
    <row r="1" customFormat="false" ht="17.65" hidden="false" customHeight="false" outlineLevel="0" collapsed="false">
      <c r="A1" s="99" t="s">
        <v>274</v>
      </c>
      <c r="B1" s="99"/>
      <c r="C1" s="99"/>
      <c r="D1" s="99"/>
      <c r="E1" s="99"/>
      <c r="F1" s="99"/>
      <c r="G1" s="99"/>
      <c r="H1" s="99"/>
    </row>
    <row r="2" customFormat="false" ht="15.25" hidden="false" customHeight="false" outlineLevel="0" collapsed="false">
      <c r="A2" s="100" t="s">
        <v>197</v>
      </c>
      <c r="B2" s="100"/>
      <c r="C2" s="100"/>
      <c r="D2" s="100"/>
      <c r="E2" s="100"/>
      <c r="F2" s="100"/>
      <c r="G2" s="100"/>
      <c r="H2" s="100"/>
      <c r="I2" s="125"/>
    </row>
    <row r="3" customFormat="false" ht="15.25" hidden="false" customHeight="false" outlineLevel="0" collapsed="false">
      <c r="A3" s="102" t="s">
        <v>171</v>
      </c>
      <c r="B3" s="102" t="s">
        <v>172</v>
      </c>
      <c r="C3" s="102" t="s">
        <v>173</v>
      </c>
      <c r="D3" s="102" t="s">
        <v>174</v>
      </c>
      <c r="E3" s="102" t="s">
        <v>190</v>
      </c>
      <c r="F3" s="102" t="s">
        <v>191</v>
      </c>
      <c r="G3" s="102" t="s">
        <v>192</v>
      </c>
      <c r="H3" s="102" t="s">
        <v>193</v>
      </c>
      <c r="I3" s="125"/>
    </row>
    <row r="4" customFormat="false" ht="15.25" hidden="false" customHeight="false" outlineLevel="0" collapsed="false">
      <c r="A4" s="105" t="n">
        <v>989</v>
      </c>
      <c r="B4" s="105" t="n">
        <v>1124.57</v>
      </c>
      <c r="C4" s="105" t="n">
        <v>1180</v>
      </c>
      <c r="D4" s="105" t="n">
        <f aca="false">(A4+B4+C4)/3</f>
        <v>1097.85666666667</v>
      </c>
      <c r="E4" s="106" t="n">
        <v>0.1</v>
      </c>
      <c r="F4" s="107" t="n">
        <v>10</v>
      </c>
      <c r="G4" s="105" t="n">
        <f aca="false">(D4/F4)/12</f>
        <v>9.14880555555556</v>
      </c>
      <c r="H4" s="105" t="n">
        <f aca="false">G4/8</f>
        <v>1.14360069444444</v>
      </c>
      <c r="I4" s="140"/>
    </row>
    <row r="5" customFormat="false" ht="15.25" hidden="false" customHeight="false" outlineLevel="0" collapsed="false">
      <c r="A5" s="105"/>
      <c r="B5" s="105"/>
      <c r="C5" s="105"/>
      <c r="D5" s="105"/>
      <c r="E5" s="106"/>
      <c r="F5" s="107"/>
      <c r="G5" s="105"/>
      <c r="H5" s="105"/>
      <c r="I5" s="125"/>
    </row>
    <row r="6" customFormat="false" ht="15.25" hidden="false" customHeight="false" outlineLevel="0" collapsed="false">
      <c r="A6" s="100" t="s">
        <v>195</v>
      </c>
      <c r="B6" s="100"/>
      <c r="C6" s="100"/>
      <c r="D6" s="100"/>
      <c r="E6" s="100"/>
      <c r="F6" s="100"/>
      <c r="G6" s="100"/>
      <c r="H6" s="100"/>
      <c r="I6" s="3"/>
    </row>
    <row r="7" customFormat="false" ht="15.25" hidden="false" customHeight="false" outlineLevel="0" collapsed="false">
      <c r="A7" s="102" t="s">
        <v>171</v>
      </c>
      <c r="B7" s="102" t="s">
        <v>172</v>
      </c>
      <c r="C7" s="102" t="s">
        <v>173</v>
      </c>
      <c r="D7" s="102" t="s">
        <v>174</v>
      </c>
      <c r="E7" s="102" t="s">
        <v>190</v>
      </c>
      <c r="F7" s="103" t="s">
        <v>191</v>
      </c>
      <c r="G7" s="102" t="s">
        <v>192</v>
      </c>
      <c r="H7" s="102" t="s">
        <v>193</v>
      </c>
      <c r="I7" s="142"/>
    </row>
    <row r="8" customFormat="false" ht="15.25" hidden="false" customHeight="false" outlineLevel="0" collapsed="false">
      <c r="A8" s="105" t="n">
        <v>99.96</v>
      </c>
      <c r="B8" s="105" t="n">
        <v>103.66</v>
      </c>
      <c r="C8" s="105" t="n">
        <v>99.96</v>
      </c>
      <c r="D8" s="105" t="n">
        <f aca="false">(A8+B8+C8)/3</f>
        <v>101.193333333333</v>
      </c>
      <c r="E8" s="106" t="n">
        <v>0.2</v>
      </c>
      <c r="F8" s="107" t="n">
        <v>5</v>
      </c>
      <c r="G8" s="105" t="n">
        <f aca="false">(D8/F8)/12</f>
        <v>1.68655555555556</v>
      </c>
      <c r="H8" s="105" t="n">
        <f aca="false">G8/8</f>
        <v>0.210819444444444</v>
      </c>
      <c r="I8" s="3"/>
    </row>
    <row r="9" customFormat="false" ht="14.05" hidden="false" customHeight="false" outlineLevel="0" collapsed="false">
      <c r="I9" s="3"/>
    </row>
    <row r="10" customFormat="false" ht="15.25" hidden="false" customHeight="false" outlineLevel="0" collapsed="false">
      <c r="A10" s="100" t="s">
        <v>196</v>
      </c>
      <c r="B10" s="100"/>
      <c r="C10" s="100"/>
      <c r="D10" s="100"/>
      <c r="E10" s="100"/>
      <c r="F10" s="100"/>
      <c r="G10" s="100"/>
      <c r="H10" s="100"/>
      <c r="I10" s="3"/>
    </row>
    <row r="11" customFormat="false" ht="15.25" hidden="false" customHeight="false" outlineLevel="0" collapsed="false">
      <c r="A11" s="102" t="s">
        <v>171</v>
      </c>
      <c r="B11" s="102" t="s">
        <v>172</v>
      </c>
      <c r="C11" s="102" t="s">
        <v>173</v>
      </c>
      <c r="D11" s="102" t="s">
        <v>174</v>
      </c>
      <c r="E11" s="102" t="s">
        <v>190</v>
      </c>
      <c r="F11" s="103" t="s">
        <v>191</v>
      </c>
      <c r="G11" s="102" t="s">
        <v>192</v>
      </c>
      <c r="H11" s="102" t="s">
        <v>192</v>
      </c>
      <c r="I11" s="3"/>
    </row>
    <row r="12" customFormat="false" ht="15.25" hidden="false" customHeight="false" outlineLevel="0" collapsed="false">
      <c r="A12" s="105" t="n">
        <v>35.99</v>
      </c>
      <c r="B12" s="105" t="n">
        <v>39.99</v>
      </c>
      <c r="C12" s="105" t="n">
        <v>34.9</v>
      </c>
      <c r="D12" s="105" t="n">
        <f aca="false">(A12+B12+C12)/3</f>
        <v>36.96</v>
      </c>
      <c r="E12" s="106" t="n">
        <v>0</v>
      </c>
      <c r="F12" s="106"/>
      <c r="G12" s="105" t="n">
        <f aca="false">D12</f>
        <v>36.96</v>
      </c>
      <c r="H12" s="105" t="n">
        <f aca="false">G12/8</f>
        <v>4.62</v>
      </c>
      <c r="I12" s="3"/>
    </row>
    <row r="13" customFormat="false" ht="14.05" hidden="false" customHeight="false" outlineLevel="0" collapsed="false">
      <c r="I13" s="3"/>
    </row>
    <row r="14" customFormat="false" ht="15.25" hidden="false" customHeight="false" outlineLevel="0" collapsed="false">
      <c r="A14" s="100" t="s">
        <v>224</v>
      </c>
      <c r="B14" s="100"/>
      <c r="C14" s="100"/>
      <c r="D14" s="100"/>
      <c r="E14" s="100"/>
      <c r="F14" s="100"/>
      <c r="G14" s="100"/>
      <c r="H14" s="100"/>
      <c r="I14" s="125"/>
    </row>
    <row r="15" customFormat="false" ht="15.25" hidden="false" customHeight="false" outlineLevel="0" collapsed="false">
      <c r="A15" s="102" t="s">
        <v>171</v>
      </c>
      <c r="B15" s="102" t="s">
        <v>172</v>
      </c>
      <c r="C15" s="102" t="s">
        <v>173</v>
      </c>
      <c r="D15" s="102" t="s">
        <v>174</v>
      </c>
      <c r="E15" s="102" t="s">
        <v>190</v>
      </c>
      <c r="F15" s="102" t="s">
        <v>191</v>
      </c>
      <c r="G15" s="102" t="s">
        <v>192</v>
      </c>
      <c r="H15" s="102" t="s">
        <v>193</v>
      </c>
      <c r="I15" s="125"/>
    </row>
    <row r="16" customFormat="false" ht="15.25" hidden="false" customHeight="false" outlineLevel="0" collapsed="false">
      <c r="A16" s="105" t="n">
        <v>10</v>
      </c>
      <c r="B16" s="105" t="n">
        <v>10</v>
      </c>
      <c r="C16" s="105" t="n">
        <v>10</v>
      </c>
      <c r="D16" s="105" t="n">
        <f aca="false">(A16+B16+C16)/3</f>
        <v>10</v>
      </c>
      <c r="E16" s="106" t="n">
        <v>0.25</v>
      </c>
      <c r="F16" s="107" t="n">
        <v>4</v>
      </c>
      <c r="G16" s="105" t="n">
        <f aca="false">(D16/F16)/12*4</f>
        <v>0.833333333333333</v>
      </c>
      <c r="H16" s="105" t="n">
        <f aca="false">G16/8</f>
        <v>0.104166666666667</v>
      </c>
      <c r="I16" s="140"/>
    </row>
    <row r="17" customFormat="false" ht="14.05" hidden="false" customHeight="false" outlineLevel="0" collapsed="false">
      <c r="I17" s="125"/>
    </row>
    <row r="18" customFormat="false" ht="15.25" hidden="false" customHeight="false" outlineLevel="0" collapsed="false">
      <c r="A18" s="100" t="s">
        <v>201</v>
      </c>
      <c r="B18" s="100"/>
      <c r="C18" s="100"/>
      <c r="D18" s="100"/>
      <c r="E18" s="100"/>
      <c r="F18" s="100"/>
      <c r="G18" s="100"/>
      <c r="H18" s="100"/>
      <c r="I18" s="125"/>
    </row>
    <row r="19" customFormat="false" ht="15.25" hidden="false" customHeight="false" outlineLevel="0" collapsed="false">
      <c r="A19" s="102" t="s">
        <v>171</v>
      </c>
      <c r="B19" s="102" t="s">
        <v>172</v>
      </c>
      <c r="C19" s="102" t="s">
        <v>173</v>
      </c>
      <c r="D19" s="102" t="s">
        <v>174</v>
      </c>
      <c r="E19" s="102" t="s">
        <v>190</v>
      </c>
      <c r="F19" s="102" t="s">
        <v>191</v>
      </c>
      <c r="G19" s="102" t="s">
        <v>192</v>
      </c>
      <c r="H19" s="102" t="s">
        <v>193</v>
      </c>
      <c r="I19" s="125"/>
    </row>
    <row r="20" customFormat="false" ht="15.25" hidden="false" customHeight="false" outlineLevel="0" collapsed="false">
      <c r="A20" s="105" t="n">
        <v>53.02</v>
      </c>
      <c r="B20" s="105" t="n">
        <v>53.02</v>
      </c>
      <c r="C20" s="105" t="n">
        <v>53.02</v>
      </c>
      <c r="D20" s="105" t="n">
        <f aca="false">(A20+B20+C20)/3</f>
        <v>53.02</v>
      </c>
      <c r="E20" s="106" t="n">
        <v>0.25</v>
      </c>
      <c r="F20" s="107" t="n">
        <v>4</v>
      </c>
      <c r="G20" s="105" t="n">
        <f aca="false">(D20/F20)/12*4</f>
        <v>4.41833333333333</v>
      </c>
      <c r="H20" s="105" t="n">
        <f aca="false">G20/8</f>
        <v>0.552291666666667</v>
      </c>
      <c r="I20" s="140"/>
    </row>
    <row r="21" customFormat="false" ht="15.25" hidden="false" customHeight="false" outlineLevel="0" collapsed="false">
      <c r="A21" s="105"/>
      <c r="B21" s="105"/>
      <c r="C21" s="105"/>
      <c r="D21" s="105"/>
      <c r="E21" s="106"/>
      <c r="F21" s="107"/>
      <c r="G21" s="105"/>
      <c r="H21" s="105"/>
      <c r="I21" s="140"/>
    </row>
    <row r="22" customFormat="false" ht="15.25" hidden="false" customHeight="false" outlineLevel="0" collapsed="false">
      <c r="A22" s="100" t="s">
        <v>194</v>
      </c>
      <c r="B22" s="100"/>
      <c r="C22" s="100"/>
      <c r="D22" s="100"/>
      <c r="E22" s="100"/>
      <c r="F22" s="100"/>
      <c r="G22" s="100"/>
      <c r="H22" s="100"/>
      <c r="I22" s="140"/>
    </row>
    <row r="23" customFormat="false" ht="15.25" hidden="false" customHeight="false" outlineLevel="0" collapsed="false">
      <c r="A23" s="102" t="s">
        <v>171</v>
      </c>
      <c r="B23" s="102" t="s">
        <v>172</v>
      </c>
      <c r="C23" s="102" t="s">
        <v>173</v>
      </c>
      <c r="D23" s="102" t="s">
        <v>174</v>
      </c>
      <c r="E23" s="102" t="s">
        <v>190</v>
      </c>
      <c r="F23" s="102" t="s">
        <v>191</v>
      </c>
      <c r="G23" s="102" t="s">
        <v>192</v>
      </c>
      <c r="H23" s="102" t="s">
        <v>193</v>
      </c>
      <c r="I23" s="140"/>
    </row>
    <row r="24" customFormat="false" ht="15.25" hidden="false" customHeight="false" outlineLevel="0" collapsed="false">
      <c r="A24" s="105" t="n">
        <v>150</v>
      </c>
      <c r="B24" s="105" t="n">
        <v>150</v>
      </c>
      <c r="C24" s="105" t="n">
        <v>150</v>
      </c>
      <c r="D24" s="105" t="n">
        <f aca="false">(A24+B24+C24)/3</f>
        <v>150</v>
      </c>
      <c r="E24" s="106" t="n">
        <v>0.1</v>
      </c>
      <c r="F24" s="107" t="n">
        <v>10</v>
      </c>
      <c r="G24" s="105" t="n">
        <f aca="false">(D24/F24)/12*4</f>
        <v>5</v>
      </c>
      <c r="H24" s="105" t="n">
        <f aca="false">G24/8</f>
        <v>0.625</v>
      </c>
      <c r="I24" s="140"/>
    </row>
    <row r="25" customFormat="false" ht="14.05" hidden="false" customHeight="false" outlineLevel="0" collapsed="false">
      <c r="I25" s="125"/>
    </row>
    <row r="26" customFormat="false" ht="15.25" hidden="false" customHeight="false" outlineLevel="0" collapsed="false">
      <c r="A26" s="100" t="s">
        <v>225</v>
      </c>
      <c r="B26" s="100"/>
      <c r="C26" s="100"/>
      <c r="D26" s="100"/>
      <c r="E26" s="100"/>
      <c r="F26" s="100"/>
      <c r="G26" s="100"/>
      <c r="H26" s="100"/>
      <c r="I26" s="125"/>
    </row>
    <row r="27" customFormat="false" ht="15.25" hidden="false" customHeight="false" outlineLevel="0" collapsed="false">
      <c r="A27" s="102" t="s">
        <v>171</v>
      </c>
      <c r="B27" s="102" t="s">
        <v>172</v>
      </c>
      <c r="C27" s="102" t="s">
        <v>173</v>
      </c>
      <c r="D27" s="102" t="s">
        <v>174</v>
      </c>
      <c r="E27" s="102" t="s">
        <v>190</v>
      </c>
      <c r="F27" s="102" t="s">
        <v>191</v>
      </c>
      <c r="G27" s="102" t="s">
        <v>192</v>
      </c>
      <c r="H27" s="102" t="s">
        <v>193</v>
      </c>
      <c r="I27" s="125"/>
    </row>
    <row r="28" customFormat="false" ht="15.25" hidden="false" customHeight="false" outlineLevel="0" collapsed="false">
      <c r="A28" s="105" t="n">
        <v>134.46</v>
      </c>
      <c r="B28" s="105" t="n">
        <v>109.81</v>
      </c>
      <c r="C28" s="105" t="n">
        <v>143.1</v>
      </c>
      <c r="D28" s="105" t="n">
        <f aca="false">(A28+B28+C28)/3</f>
        <v>129.123333333333</v>
      </c>
      <c r="E28" s="106" t="n">
        <v>0.2</v>
      </c>
      <c r="F28" s="107" t="n">
        <v>5</v>
      </c>
      <c r="G28" s="105" t="n">
        <f aca="false">(D28/F28)/12*4</f>
        <v>8.60822222222222</v>
      </c>
      <c r="H28" s="105" t="n">
        <f aca="false">G28/8</f>
        <v>1.07602777777778</v>
      </c>
      <c r="I28" s="140"/>
    </row>
    <row r="29" customFormat="false" ht="15.25" hidden="false" customHeight="false" outlineLevel="0" collapsed="false">
      <c r="A29" s="105"/>
      <c r="B29" s="105"/>
      <c r="C29" s="105"/>
      <c r="D29" s="105"/>
      <c r="E29" s="106"/>
      <c r="F29" s="106"/>
      <c r="G29" s="105"/>
      <c r="H29" s="105"/>
      <c r="I29" s="125"/>
    </row>
    <row r="30" customFormat="false" ht="15.25" hidden="false" customHeight="false" outlineLevel="0" collapsed="false">
      <c r="A30" s="100" t="s">
        <v>205</v>
      </c>
      <c r="B30" s="100"/>
      <c r="C30" s="100"/>
      <c r="D30" s="100"/>
      <c r="E30" s="100"/>
      <c r="F30" s="100"/>
      <c r="G30" s="100"/>
      <c r="H30" s="100"/>
      <c r="I30" s="125"/>
    </row>
    <row r="31" customFormat="false" ht="15.25" hidden="false" customHeight="false" outlineLevel="0" collapsed="false">
      <c r="A31" s="102" t="s">
        <v>171</v>
      </c>
      <c r="B31" s="102" t="s">
        <v>172</v>
      </c>
      <c r="C31" s="102" t="s">
        <v>173</v>
      </c>
      <c r="D31" s="102" t="s">
        <v>174</v>
      </c>
      <c r="E31" s="102" t="s">
        <v>190</v>
      </c>
      <c r="F31" s="102" t="s">
        <v>191</v>
      </c>
      <c r="G31" s="102" t="s">
        <v>192</v>
      </c>
      <c r="H31" s="102" t="s">
        <v>193</v>
      </c>
      <c r="I31" s="125"/>
    </row>
    <row r="32" customFormat="false" ht="15.25" hidden="false" customHeight="false" outlineLevel="0" collapsed="false">
      <c r="A32" s="105" t="n">
        <v>17</v>
      </c>
      <c r="B32" s="105" t="n">
        <v>17</v>
      </c>
      <c r="C32" s="105" t="n">
        <v>17</v>
      </c>
      <c r="D32" s="105" t="n">
        <f aca="false">(A32+B32+C32)/3</f>
        <v>17</v>
      </c>
      <c r="E32" s="106" t="n">
        <v>0.2</v>
      </c>
      <c r="F32" s="107" t="n">
        <v>5</v>
      </c>
      <c r="G32" s="105" t="n">
        <f aca="false">(D32/F32)/12*3</f>
        <v>0.85</v>
      </c>
      <c r="H32" s="105" t="n">
        <f aca="false">G32/8</f>
        <v>0.10625</v>
      </c>
      <c r="I32" s="140"/>
    </row>
    <row r="33" customFormat="false" ht="15.25" hidden="false" customHeight="false" outlineLevel="0" collapsed="false">
      <c r="A33" s="105"/>
      <c r="B33" s="105"/>
      <c r="C33" s="105"/>
      <c r="D33" s="105"/>
      <c r="E33" s="106"/>
      <c r="F33" s="106"/>
      <c r="G33" s="105"/>
      <c r="H33" s="105"/>
      <c r="I33" s="125"/>
    </row>
    <row r="34" customFormat="false" ht="15.25" hidden="false" customHeight="false" outlineLevel="0" collapsed="false">
      <c r="A34" s="100" t="s">
        <v>206</v>
      </c>
      <c r="B34" s="100"/>
      <c r="C34" s="100"/>
      <c r="D34" s="100"/>
      <c r="E34" s="100"/>
      <c r="F34" s="100"/>
      <c r="G34" s="100"/>
      <c r="H34" s="100"/>
      <c r="I34" s="125"/>
    </row>
    <row r="35" customFormat="false" ht="15.25" hidden="false" customHeight="false" outlineLevel="0" collapsed="false">
      <c r="A35" s="102" t="s">
        <v>171</v>
      </c>
      <c r="B35" s="102" t="s">
        <v>172</v>
      </c>
      <c r="C35" s="102" t="s">
        <v>173</v>
      </c>
      <c r="D35" s="102" t="s">
        <v>174</v>
      </c>
      <c r="E35" s="102" t="s">
        <v>190</v>
      </c>
      <c r="F35" s="102" t="s">
        <v>191</v>
      </c>
      <c r="G35" s="102" t="s">
        <v>192</v>
      </c>
      <c r="H35" s="102" t="s">
        <v>193</v>
      </c>
      <c r="I35" s="125"/>
    </row>
    <row r="36" customFormat="false" ht="15.25" hidden="false" customHeight="false" outlineLevel="0" collapsed="false">
      <c r="A36" s="105" t="n">
        <v>6</v>
      </c>
      <c r="B36" s="105" t="n">
        <v>6</v>
      </c>
      <c r="C36" s="105" t="n">
        <v>6</v>
      </c>
      <c r="D36" s="105" t="n">
        <f aca="false">(A36+B36+C36)/3</f>
        <v>6</v>
      </c>
      <c r="E36" s="106" t="n">
        <v>1</v>
      </c>
      <c r="F36" s="107" t="n">
        <v>1</v>
      </c>
      <c r="G36" s="105" t="n">
        <f aca="false">(D36/F36)/12*24</f>
        <v>12</v>
      </c>
      <c r="H36" s="105" t="n">
        <f aca="false">G36/8</f>
        <v>1.5</v>
      </c>
      <c r="I36" s="125"/>
    </row>
    <row r="37" customFormat="false" ht="15.25" hidden="false" customHeight="false" outlineLevel="0" collapsed="false">
      <c r="A37" s="105"/>
      <c r="B37" s="105"/>
      <c r="C37" s="105"/>
      <c r="D37" s="105"/>
      <c r="E37" s="106"/>
      <c r="F37" s="106"/>
      <c r="G37" s="105"/>
      <c r="H37" s="105"/>
      <c r="I37" s="125"/>
    </row>
    <row r="38" customFormat="false" ht="15.25" hidden="false" customHeight="false" outlineLevel="0" collapsed="false">
      <c r="A38" s="100" t="s">
        <v>211</v>
      </c>
      <c r="B38" s="100"/>
      <c r="C38" s="100"/>
      <c r="D38" s="100"/>
      <c r="E38" s="100"/>
      <c r="F38" s="100"/>
      <c r="G38" s="100"/>
      <c r="H38" s="100"/>
      <c r="I38" s="125"/>
    </row>
    <row r="39" customFormat="false" ht="15.25" hidden="false" customHeight="false" outlineLevel="0" collapsed="false">
      <c r="A39" s="102" t="s">
        <v>171</v>
      </c>
      <c r="B39" s="102" t="s">
        <v>172</v>
      </c>
      <c r="C39" s="102" t="s">
        <v>173</v>
      </c>
      <c r="D39" s="102" t="s">
        <v>174</v>
      </c>
      <c r="E39" s="102" t="s">
        <v>190</v>
      </c>
      <c r="F39" s="102" t="s">
        <v>191</v>
      </c>
      <c r="G39" s="102" t="s">
        <v>192</v>
      </c>
      <c r="H39" s="102" t="s">
        <v>193</v>
      </c>
      <c r="I39" s="125"/>
    </row>
    <row r="40" customFormat="false" ht="15.25" hidden="false" customHeight="false" outlineLevel="0" collapsed="false">
      <c r="A40" s="105" t="n">
        <v>170.1</v>
      </c>
      <c r="B40" s="105" t="n">
        <v>140.7</v>
      </c>
      <c r="C40" s="105" t="n">
        <v>161.9</v>
      </c>
      <c r="D40" s="105" t="n">
        <f aca="false">(A40+B40+C40)/3</f>
        <v>157.566666666667</v>
      </c>
      <c r="E40" s="106" t="n">
        <v>1</v>
      </c>
      <c r="F40" s="107" t="n">
        <v>1</v>
      </c>
      <c r="G40" s="105" t="n">
        <f aca="false">(D40/F40)/12*24</f>
        <v>315.133333333333</v>
      </c>
      <c r="H40" s="105" t="n">
        <f aca="false">G40/8</f>
        <v>39.3916666666667</v>
      </c>
      <c r="I40" s="125"/>
    </row>
    <row r="41" customFormat="false" ht="15.25" hidden="false" customHeight="false" outlineLevel="0" collapsed="false">
      <c r="A41" s="105"/>
      <c r="B41" s="105"/>
      <c r="C41" s="105"/>
      <c r="D41" s="105"/>
      <c r="E41" s="106"/>
      <c r="F41" s="106"/>
      <c r="G41" s="105"/>
      <c r="H41" s="105"/>
      <c r="I41" s="125"/>
    </row>
    <row r="42" customFormat="false" ht="15.25" hidden="false" customHeight="false" outlineLevel="0" collapsed="false">
      <c r="A42" s="100" t="s">
        <v>207</v>
      </c>
      <c r="B42" s="100"/>
      <c r="C42" s="100"/>
      <c r="D42" s="100"/>
      <c r="E42" s="100"/>
      <c r="F42" s="100"/>
      <c r="G42" s="100"/>
      <c r="H42" s="100"/>
      <c r="I42" s="125"/>
    </row>
    <row r="43" customFormat="false" ht="15.25" hidden="false" customHeight="false" outlineLevel="0" collapsed="false">
      <c r="A43" s="102" t="s">
        <v>171</v>
      </c>
      <c r="B43" s="102" t="s">
        <v>172</v>
      </c>
      <c r="C43" s="102" t="s">
        <v>173</v>
      </c>
      <c r="D43" s="102" t="s">
        <v>174</v>
      </c>
      <c r="E43" s="102" t="s">
        <v>190</v>
      </c>
      <c r="F43" s="102" t="s">
        <v>191</v>
      </c>
      <c r="G43" s="102" t="s">
        <v>192</v>
      </c>
      <c r="H43" s="102" t="s">
        <v>193</v>
      </c>
      <c r="I43" s="125"/>
    </row>
    <row r="44" customFormat="false" ht="15.25" hidden="false" customHeight="false" outlineLevel="0" collapsed="false">
      <c r="A44" s="105" t="n">
        <v>170</v>
      </c>
      <c r="B44" s="105" t="n">
        <v>80</v>
      </c>
      <c r="C44" s="105" t="n">
        <v>75</v>
      </c>
      <c r="D44" s="105" t="n">
        <f aca="false">(A44+B44+C44)/3</f>
        <v>108.333333333333</v>
      </c>
      <c r="E44" s="106" t="n">
        <v>1</v>
      </c>
      <c r="F44" s="107" t="n">
        <v>1</v>
      </c>
      <c r="G44" s="105" t="n">
        <f aca="false">(D44/F44)/12*48</f>
        <v>433.333333333333</v>
      </c>
      <c r="H44" s="105" t="n">
        <f aca="false">G44/8</f>
        <v>54.1666666666667</v>
      </c>
      <c r="I44" s="125"/>
    </row>
    <row r="45" customFormat="false" ht="15.25" hidden="false" customHeight="false" outlineLevel="0" collapsed="false">
      <c r="A45" s="105"/>
      <c r="B45" s="105"/>
      <c r="C45" s="105"/>
      <c r="D45" s="105"/>
      <c r="E45" s="106"/>
      <c r="F45" s="106"/>
      <c r="G45" s="105"/>
      <c r="H45" s="105"/>
      <c r="I45" s="125"/>
    </row>
    <row r="46" customFormat="false" ht="15.25" hidden="false" customHeight="false" outlineLevel="0" collapsed="false">
      <c r="A46" s="100" t="s">
        <v>208</v>
      </c>
      <c r="B46" s="100"/>
      <c r="C46" s="100"/>
      <c r="D46" s="100"/>
      <c r="E46" s="100"/>
      <c r="F46" s="100"/>
      <c r="G46" s="100"/>
      <c r="H46" s="100"/>
      <c r="I46" s="125"/>
    </row>
    <row r="47" customFormat="false" ht="15.25" hidden="false" customHeight="false" outlineLevel="0" collapsed="false">
      <c r="A47" s="102" t="s">
        <v>171</v>
      </c>
      <c r="B47" s="102" t="s">
        <v>172</v>
      </c>
      <c r="C47" s="102" t="s">
        <v>173</v>
      </c>
      <c r="D47" s="102" t="s">
        <v>174</v>
      </c>
      <c r="E47" s="102" t="s">
        <v>190</v>
      </c>
      <c r="F47" s="102" t="s">
        <v>191</v>
      </c>
      <c r="G47" s="102" t="s">
        <v>192</v>
      </c>
      <c r="H47" s="102" t="s">
        <v>193</v>
      </c>
      <c r="I47" s="125"/>
    </row>
    <row r="48" customFormat="false" ht="15.25" hidden="false" customHeight="false" outlineLevel="0" collapsed="false">
      <c r="A48" s="105" t="n">
        <v>15</v>
      </c>
      <c r="B48" s="105" t="n">
        <v>15</v>
      </c>
      <c r="C48" s="105" t="n">
        <v>15</v>
      </c>
      <c r="D48" s="105" t="n">
        <f aca="false">(A48+B48+C48)/3</f>
        <v>15</v>
      </c>
      <c r="E48" s="106" t="n">
        <v>1</v>
      </c>
      <c r="F48" s="107" t="n">
        <v>1</v>
      </c>
      <c r="G48" s="105" t="n">
        <f aca="false">(D48/F48)/12*48</f>
        <v>60</v>
      </c>
      <c r="H48" s="105" t="n">
        <f aca="false">G48/8</f>
        <v>7.5</v>
      </c>
      <c r="I48" s="125"/>
    </row>
    <row r="49" customFormat="false" ht="15.25" hidden="false" customHeight="false" outlineLevel="0" collapsed="false">
      <c r="A49" s="105"/>
      <c r="B49" s="105"/>
      <c r="C49" s="105"/>
      <c r="D49" s="105"/>
      <c r="E49" s="106"/>
      <c r="F49" s="106"/>
      <c r="G49" s="105"/>
      <c r="H49" s="105"/>
      <c r="I49" s="125"/>
    </row>
    <row r="50" customFormat="false" ht="15.25" hidden="false" customHeight="false" outlineLevel="0" collapsed="false">
      <c r="A50" s="100" t="s">
        <v>210</v>
      </c>
      <c r="B50" s="100"/>
      <c r="C50" s="100"/>
      <c r="D50" s="100"/>
      <c r="E50" s="100"/>
      <c r="F50" s="100"/>
      <c r="G50" s="100"/>
      <c r="H50" s="100"/>
      <c r="I50" s="125"/>
    </row>
    <row r="51" customFormat="false" ht="15.25" hidden="false" customHeight="false" outlineLevel="0" collapsed="false">
      <c r="A51" s="102" t="s">
        <v>171</v>
      </c>
      <c r="B51" s="102" t="s">
        <v>172</v>
      </c>
      <c r="C51" s="102" t="s">
        <v>173</v>
      </c>
      <c r="D51" s="102" t="s">
        <v>174</v>
      </c>
      <c r="E51" s="102" t="s">
        <v>190</v>
      </c>
      <c r="F51" s="102" t="s">
        <v>191</v>
      </c>
      <c r="G51" s="102" t="s">
        <v>192</v>
      </c>
      <c r="H51" s="102" t="s">
        <v>193</v>
      </c>
      <c r="I51" s="125"/>
    </row>
    <row r="52" customFormat="false" ht="15.25" hidden="false" customHeight="false" outlineLevel="0" collapsed="false">
      <c r="A52" s="105" t="n">
        <v>10</v>
      </c>
      <c r="B52" s="105" t="n">
        <v>10</v>
      </c>
      <c r="C52" s="105" t="n">
        <v>10</v>
      </c>
      <c r="D52" s="105" t="n">
        <f aca="false">(A52+B52+C52)/3</f>
        <v>10</v>
      </c>
      <c r="E52" s="106" t="n">
        <v>1</v>
      </c>
      <c r="F52" s="107" t="n">
        <v>1</v>
      </c>
      <c r="G52" s="105" t="n">
        <f aca="false">(D52/F52)/12*24</f>
        <v>20</v>
      </c>
      <c r="H52" s="105" t="n">
        <f aca="false">G52/8</f>
        <v>2.5</v>
      </c>
      <c r="I52" s="125"/>
    </row>
    <row r="53" customFormat="false" ht="15.25" hidden="false" customHeight="false" outlineLevel="0" collapsed="false">
      <c r="A53" s="105"/>
      <c r="B53" s="105"/>
      <c r="C53" s="105"/>
      <c r="D53" s="105"/>
      <c r="E53" s="106"/>
      <c r="F53" s="106"/>
      <c r="G53" s="105"/>
      <c r="H53" s="105"/>
      <c r="I53" s="125"/>
    </row>
    <row r="54" customFormat="false" ht="15.25" hidden="false" customHeight="false" outlineLevel="0" collapsed="false">
      <c r="A54" s="100" t="s">
        <v>212</v>
      </c>
      <c r="B54" s="100"/>
      <c r="C54" s="100"/>
      <c r="D54" s="100"/>
      <c r="E54" s="100"/>
      <c r="F54" s="100"/>
      <c r="G54" s="100"/>
      <c r="H54" s="100"/>
      <c r="I54" s="125"/>
    </row>
    <row r="55" customFormat="false" ht="15.25" hidden="false" customHeight="false" outlineLevel="0" collapsed="false">
      <c r="A55" s="102" t="s">
        <v>171</v>
      </c>
      <c r="B55" s="102" t="s">
        <v>172</v>
      </c>
      <c r="C55" s="102" t="s">
        <v>173</v>
      </c>
      <c r="D55" s="102" t="s">
        <v>174</v>
      </c>
      <c r="E55" s="102" t="s">
        <v>190</v>
      </c>
      <c r="F55" s="102" t="s">
        <v>191</v>
      </c>
      <c r="G55" s="102" t="s">
        <v>192</v>
      </c>
      <c r="H55" s="102" t="s">
        <v>193</v>
      </c>
      <c r="I55" s="125"/>
    </row>
    <row r="56" customFormat="false" ht="15.25" hidden="false" customHeight="false" outlineLevel="0" collapsed="false">
      <c r="A56" s="105" t="n">
        <v>25</v>
      </c>
      <c r="B56" s="105" t="n">
        <v>25</v>
      </c>
      <c r="C56" s="105" t="n">
        <v>25</v>
      </c>
      <c r="D56" s="105" t="n">
        <f aca="false">(A56+B56+C56)/3</f>
        <v>25</v>
      </c>
      <c r="E56" s="106" t="n">
        <v>1</v>
      </c>
      <c r="F56" s="107" t="n">
        <v>1</v>
      </c>
      <c r="G56" s="105" t="n">
        <f aca="false">(D56/F56)/12*24</f>
        <v>50</v>
      </c>
      <c r="H56" s="105" t="n">
        <f aca="false">G56/8</f>
        <v>6.25</v>
      </c>
      <c r="I56" s="125"/>
    </row>
    <row r="57" customFormat="false" ht="15.25" hidden="false" customHeight="false" outlineLevel="0" collapsed="false">
      <c r="A57" s="105"/>
      <c r="B57" s="105"/>
      <c r="C57" s="105"/>
      <c r="D57" s="105"/>
      <c r="E57" s="106"/>
      <c r="F57" s="106"/>
      <c r="G57" s="105"/>
      <c r="H57" s="105"/>
      <c r="I57" s="125"/>
    </row>
    <row r="58" customFormat="false" ht="15.25" hidden="false" customHeight="false" outlineLevel="0" collapsed="false">
      <c r="A58" s="100" t="s">
        <v>213</v>
      </c>
      <c r="B58" s="100"/>
      <c r="C58" s="100"/>
      <c r="D58" s="100"/>
      <c r="E58" s="100"/>
      <c r="F58" s="100"/>
      <c r="G58" s="100"/>
      <c r="H58" s="100"/>
      <c r="I58" s="125"/>
    </row>
    <row r="59" customFormat="false" ht="15.25" hidden="false" customHeight="false" outlineLevel="0" collapsed="false">
      <c r="A59" s="102" t="s">
        <v>171</v>
      </c>
      <c r="B59" s="102" t="s">
        <v>172</v>
      </c>
      <c r="C59" s="102" t="s">
        <v>173</v>
      </c>
      <c r="D59" s="102" t="s">
        <v>174</v>
      </c>
      <c r="E59" s="102" t="s">
        <v>190</v>
      </c>
      <c r="F59" s="102" t="s">
        <v>191</v>
      </c>
      <c r="G59" s="102" t="s">
        <v>192</v>
      </c>
      <c r="H59" s="102" t="s">
        <v>193</v>
      </c>
      <c r="I59" s="125"/>
    </row>
    <row r="60" customFormat="false" ht="15.25" hidden="false" customHeight="false" outlineLevel="0" collapsed="false">
      <c r="A60" s="105" t="n">
        <v>50</v>
      </c>
      <c r="B60" s="105" t="n">
        <v>35</v>
      </c>
      <c r="C60" s="105" t="n">
        <v>45</v>
      </c>
      <c r="D60" s="105" t="n">
        <f aca="false">(A60+B60+C60)/3</f>
        <v>43.3333333333333</v>
      </c>
      <c r="E60" s="106" t="n">
        <v>1</v>
      </c>
      <c r="F60" s="107" t="n">
        <v>1</v>
      </c>
      <c r="G60" s="105" t="n">
        <f aca="false">(D60/F60)/12*24</f>
        <v>86.6666666666667</v>
      </c>
      <c r="H60" s="105" t="n">
        <f aca="false">G60/8</f>
        <v>10.8333333333333</v>
      </c>
      <c r="I60" s="125"/>
    </row>
    <row r="61" customFormat="false" ht="15.25" hidden="false" customHeight="false" outlineLevel="0" collapsed="false">
      <c r="A61" s="105"/>
      <c r="B61" s="105"/>
      <c r="C61" s="105"/>
      <c r="D61" s="105"/>
      <c r="E61" s="106"/>
      <c r="F61" s="106"/>
      <c r="G61" s="105"/>
      <c r="H61" s="105"/>
      <c r="I61" s="125"/>
    </row>
    <row r="62" customFormat="false" ht="15.25" hidden="false" customHeight="false" outlineLevel="0" collapsed="false">
      <c r="A62" s="100" t="s">
        <v>214</v>
      </c>
      <c r="B62" s="100"/>
      <c r="C62" s="100"/>
      <c r="D62" s="100"/>
      <c r="E62" s="100"/>
      <c r="F62" s="100"/>
      <c r="G62" s="100"/>
      <c r="H62" s="100"/>
      <c r="I62" s="125"/>
    </row>
    <row r="63" customFormat="false" ht="15.25" hidden="false" customHeight="false" outlineLevel="0" collapsed="false">
      <c r="A63" s="102" t="s">
        <v>171</v>
      </c>
      <c r="B63" s="102" t="s">
        <v>172</v>
      </c>
      <c r="C63" s="102" t="s">
        <v>173</v>
      </c>
      <c r="D63" s="102" t="s">
        <v>174</v>
      </c>
      <c r="E63" s="102" t="s">
        <v>190</v>
      </c>
      <c r="F63" s="102" t="s">
        <v>191</v>
      </c>
      <c r="G63" s="102" t="s">
        <v>192</v>
      </c>
      <c r="H63" s="102" t="s">
        <v>193</v>
      </c>
      <c r="I63" s="125"/>
    </row>
    <row r="64" customFormat="false" ht="15.25" hidden="false" customHeight="false" outlineLevel="0" collapsed="false">
      <c r="A64" s="105" t="n">
        <v>160</v>
      </c>
      <c r="B64" s="105" t="n">
        <v>250</v>
      </c>
      <c r="C64" s="105" t="n">
        <v>190</v>
      </c>
      <c r="D64" s="105" t="n">
        <f aca="false">(A64+B64+C64)/3</f>
        <v>200</v>
      </c>
      <c r="E64" s="106" t="n">
        <v>1</v>
      </c>
      <c r="F64" s="107" t="n">
        <v>1</v>
      </c>
      <c r="G64" s="105" t="n">
        <f aca="false">(D64/F64)/12*24</f>
        <v>400</v>
      </c>
      <c r="H64" s="105" t="n">
        <f aca="false">G64/8</f>
        <v>50</v>
      </c>
      <c r="I64" s="125"/>
    </row>
    <row r="65" customFormat="false" ht="15.25" hidden="false" customHeight="false" outlineLevel="0" collapsed="false">
      <c r="A65" s="105"/>
      <c r="B65" s="105"/>
      <c r="C65" s="105"/>
      <c r="D65" s="105"/>
      <c r="E65" s="106"/>
      <c r="F65" s="106"/>
      <c r="G65" s="105"/>
      <c r="H65" s="105"/>
      <c r="I65" s="125"/>
    </row>
    <row r="66" customFormat="false" ht="15.25" hidden="false" customHeight="false" outlineLevel="0" collapsed="false">
      <c r="A66" s="100" t="s">
        <v>215</v>
      </c>
      <c r="B66" s="100"/>
      <c r="C66" s="100"/>
      <c r="D66" s="100"/>
      <c r="E66" s="100"/>
      <c r="F66" s="100"/>
      <c r="G66" s="100"/>
      <c r="H66" s="100"/>
      <c r="I66" s="125"/>
    </row>
    <row r="67" customFormat="false" ht="15.25" hidden="false" customHeight="false" outlineLevel="0" collapsed="false">
      <c r="A67" s="102" t="s">
        <v>171</v>
      </c>
      <c r="B67" s="102" t="s">
        <v>172</v>
      </c>
      <c r="C67" s="102" t="s">
        <v>173</v>
      </c>
      <c r="D67" s="102" t="s">
        <v>174</v>
      </c>
      <c r="E67" s="102" t="s">
        <v>190</v>
      </c>
      <c r="F67" s="102" t="s">
        <v>191</v>
      </c>
      <c r="G67" s="102" t="s">
        <v>192</v>
      </c>
      <c r="H67" s="102" t="s">
        <v>193</v>
      </c>
      <c r="I67" s="125"/>
    </row>
    <row r="68" customFormat="false" ht="15.25" hidden="false" customHeight="false" outlineLevel="0" collapsed="false">
      <c r="A68" s="105" t="n">
        <v>3</v>
      </c>
      <c r="B68" s="105" t="n">
        <v>3</v>
      </c>
      <c r="C68" s="105" t="n">
        <v>3</v>
      </c>
      <c r="D68" s="105" t="n">
        <f aca="false">(A68+B68+C68)/3</f>
        <v>3</v>
      </c>
      <c r="E68" s="106" t="n">
        <v>1</v>
      </c>
      <c r="F68" s="107" t="n">
        <v>1</v>
      </c>
      <c r="G68" s="105" t="n">
        <f aca="false">(D68/12)*48</f>
        <v>12</v>
      </c>
      <c r="H68" s="105" t="n">
        <f aca="false">G68/8</f>
        <v>1.5</v>
      </c>
      <c r="I68" s="125"/>
    </row>
    <row r="69" customFormat="false" ht="15.25" hidden="false" customHeight="false" outlineLevel="0" collapsed="false">
      <c r="A69" s="105"/>
      <c r="B69" s="105"/>
      <c r="C69" s="105"/>
      <c r="D69" s="105"/>
      <c r="E69" s="106"/>
      <c r="F69" s="106"/>
      <c r="G69" s="105"/>
      <c r="H69" s="105"/>
      <c r="I69" s="125"/>
    </row>
    <row r="70" customFormat="false" ht="15.25" hidden="false" customHeight="false" outlineLevel="0" collapsed="false">
      <c r="A70" s="100" t="s">
        <v>209</v>
      </c>
      <c r="B70" s="100"/>
      <c r="C70" s="100"/>
      <c r="D70" s="100"/>
      <c r="E70" s="100"/>
      <c r="F70" s="100"/>
      <c r="G70" s="100"/>
      <c r="H70" s="100"/>
      <c r="I70" s="125"/>
    </row>
    <row r="71" customFormat="false" ht="15.25" hidden="false" customHeight="false" outlineLevel="0" collapsed="false">
      <c r="A71" s="102" t="s">
        <v>171</v>
      </c>
      <c r="B71" s="102" t="s">
        <v>172</v>
      </c>
      <c r="C71" s="102" t="s">
        <v>173</v>
      </c>
      <c r="D71" s="102" t="s">
        <v>174</v>
      </c>
      <c r="E71" s="102" t="s">
        <v>190</v>
      </c>
      <c r="F71" s="102" t="s">
        <v>191</v>
      </c>
      <c r="G71" s="102" t="s">
        <v>192</v>
      </c>
      <c r="H71" s="102" t="s">
        <v>193</v>
      </c>
      <c r="I71" s="125"/>
    </row>
    <row r="72" customFormat="false" ht="15.25" hidden="false" customHeight="false" outlineLevel="0" collapsed="false">
      <c r="A72" s="105" t="n">
        <v>32.4</v>
      </c>
      <c r="B72" s="105" t="n">
        <v>28.45</v>
      </c>
      <c r="C72" s="105" t="n">
        <v>39.06</v>
      </c>
      <c r="D72" s="105" t="n">
        <f aca="false">(A72+B72+C72)/3</f>
        <v>33.3033333333333</v>
      </c>
      <c r="E72" s="106" t="n">
        <v>1</v>
      </c>
      <c r="F72" s="107" t="n">
        <v>1</v>
      </c>
      <c r="G72" s="105" t="n">
        <f aca="false">(D72/F72)/12*24</f>
        <v>66.6066666666667</v>
      </c>
      <c r="H72" s="105" t="n">
        <f aca="false">G72/8</f>
        <v>8.32583333333333</v>
      </c>
      <c r="I72" s="125"/>
    </row>
    <row r="73" customFormat="false" ht="15.25" hidden="false" customHeight="false" outlineLevel="0" collapsed="false">
      <c r="A73" s="105"/>
      <c r="B73" s="105"/>
      <c r="C73" s="105"/>
      <c r="D73" s="105"/>
      <c r="E73" s="106"/>
      <c r="F73" s="107"/>
      <c r="G73" s="105"/>
      <c r="H73" s="105"/>
      <c r="I73" s="125"/>
    </row>
    <row r="74" customFormat="false" ht="15.25" hidden="false" customHeight="false" outlineLevel="0" collapsed="false">
      <c r="A74" s="100" t="s">
        <v>216</v>
      </c>
      <c r="B74" s="100"/>
      <c r="C74" s="100"/>
      <c r="D74" s="100"/>
      <c r="E74" s="100"/>
      <c r="F74" s="100"/>
      <c r="G74" s="100"/>
      <c r="H74" s="100"/>
      <c r="I74" s="125"/>
    </row>
    <row r="75" customFormat="false" ht="15.25" hidden="false" customHeight="false" outlineLevel="0" collapsed="false">
      <c r="A75" s="102" t="s">
        <v>171</v>
      </c>
      <c r="B75" s="102" t="s">
        <v>172</v>
      </c>
      <c r="C75" s="102" t="s">
        <v>173</v>
      </c>
      <c r="D75" s="102" t="s">
        <v>174</v>
      </c>
      <c r="E75" s="102" t="s">
        <v>190</v>
      </c>
      <c r="F75" s="103" t="s">
        <v>191</v>
      </c>
      <c r="G75" s="102" t="s">
        <v>192</v>
      </c>
      <c r="H75" s="102" t="s">
        <v>193</v>
      </c>
      <c r="I75" s="125"/>
    </row>
    <row r="76" customFormat="false" ht="15.25" hidden="false" customHeight="false" outlineLevel="0" collapsed="false">
      <c r="A76" s="105" t="n">
        <v>20</v>
      </c>
      <c r="B76" s="105" t="n">
        <v>20</v>
      </c>
      <c r="C76" s="105" t="n">
        <v>22</v>
      </c>
      <c r="D76" s="105" t="n">
        <f aca="false">(A76+B76+C76)/3</f>
        <v>20.6666666666667</v>
      </c>
      <c r="E76" s="106" t="n">
        <v>1</v>
      </c>
      <c r="F76" s="107" t="n">
        <v>1</v>
      </c>
      <c r="G76" s="105" t="n">
        <f aca="false">(D76/F76)/12*24</f>
        <v>41.3333333333333</v>
      </c>
      <c r="H76" s="105" t="n">
        <f aca="false">G76/8</f>
        <v>5.16666666666667</v>
      </c>
      <c r="I76" s="125"/>
    </row>
    <row r="77" customFormat="false" ht="15.25" hidden="false" customHeight="false" outlineLevel="0" collapsed="false">
      <c r="A77" s="105"/>
      <c r="B77" s="105"/>
      <c r="C77" s="105"/>
      <c r="D77" s="105"/>
      <c r="E77" s="106"/>
      <c r="F77" s="106"/>
      <c r="G77" s="105"/>
      <c r="H77" s="105"/>
      <c r="I77" s="125"/>
    </row>
    <row r="78" customFormat="false" ht="15.25" hidden="false" customHeight="false" outlineLevel="0" collapsed="false">
      <c r="A78" s="113" t="s">
        <v>275</v>
      </c>
      <c r="B78" s="113"/>
      <c r="C78" s="113"/>
      <c r="D78" s="113"/>
      <c r="E78" s="113"/>
      <c r="F78" s="113"/>
      <c r="G78" s="143" t="n">
        <f aca="false">(G4+G8+G12+G16+G20+G24+G28+G32+G36+G40+G44+G48+G52+G56+G60+G64+G68+G72+G76)-G12</f>
        <v>1527.61858333333</v>
      </c>
      <c r="H78" s="144" t="n">
        <f aca="false">(H4+H8+H12+H16+H20+H24+H28+H32+H36+H40+H44+H48+H52+H56+H60+H64+H68+H72+H76)-H12</f>
        <v>190.952322916667</v>
      </c>
      <c r="I78" s="3"/>
    </row>
    <row r="79" customFormat="false" ht="15.25" hidden="false" customHeight="false" outlineLevel="0" collapsed="false">
      <c r="A79" s="116" t="s">
        <v>276</v>
      </c>
      <c r="B79" s="116"/>
      <c r="C79" s="116"/>
      <c r="D79" s="116"/>
      <c r="E79" s="116"/>
      <c r="F79" s="116"/>
      <c r="G79" s="145" t="n">
        <f aca="false">G12</f>
        <v>36.96</v>
      </c>
      <c r="H79" s="146" t="n">
        <f aca="false">H12</f>
        <v>4.62</v>
      </c>
      <c r="I79" s="3"/>
    </row>
    <row r="81" customFormat="false" ht="15.25" hidden="false" customHeight="false" outlineLevel="0" collapsed="false">
      <c r="A81" s="118" t="s">
        <v>277</v>
      </c>
      <c r="B81" s="118"/>
      <c r="C81" s="118"/>
      <c r="D81" s="118"/>
      <c r="E81" s="118"/>
      <c r="F81" s="118"/>
      <c r="G81" s="119" t="n">
        <f aca="false">(G4+G8+G12+G16+G20+G24+G28+G32)-G12</f>
        <v>30.54525</v>
      </c>
      <c r="H81" s="119" t="n">
        <f aca="false">(H4+H8+H12+H16+H20+H24+H28+H32)-H12</f>
        <v>3.81815625</v>
      </c>
    </row>
    <row r="83" customFormat="false" ht="15.25" hidden="false" customHeight="false" outlineLevel="0" collapsed="false">
      <c r="A83" s="120" t="s">
        <v>278</v>
      </c>
      <c r="B83" s="120"/>
      <c r="C83" s="120"/>
      <c r="D83" s="120"/>
      <c r="E83" s="120"/>
      <c r="F83" s="120"/>
      <c r="G83" s="121" t="n">
        <f aca="false">(G36+G40+G44+G48+G52+G56+G60+G64+G68+G72+G76)</f>
        <v>1497.07333333333</v>
      </c>
      <c r="H83" s="121" t="n">
        <f aca="false">(H36+H40+H44+H48+H52+H56+H60+H64+H68+H72+H76)</f>
        <v>187.134166666667</v>
      </c>
    </row>
    <row r="85" customFormat="false" ht="15.25" hidden="false" customHeight="false" outlineLevel="0" collapsed="false">
      <c r="A85" s="122" t="s">
        <v>279</v>
      </c>
      <c r="B85" s="122"/>
      <c r="C85" s="122"/>
      <c r="D85" s="122"/>
      <c r="E85" s="122"/>
      <c r="F85" s="122"/>
      <c r="G85" s="123" t="n">
        <v>4500</v>
      </c>
      <c r="H85" s="123" t="n">
        <f aca="false">G85/28</f>
        <v>160.714285714286</v>
      </c>
    </row>
    <row r="87" customFormat="false" ht="17.65" hidden="false" customHeight="true" outlineLevel="0" collapsed="false">
      <c r="A87" s="124" t="s">
        <v>265</v>
      </c>
      <c r="B87" s="124"/>
      <c r="C87" s="124"/>
      <c r="D87" s="124"/>
      <c r="E87" s="124"/>
      <c r="F87" s="124"/>
      <c r="G87" s="124"/>
      <c r="H87" s="124"/>
    </row>
  </sheetData>
  <mergeCells count="26">
    <mergeCell ref="A1:H1"/>
    <mergeCell ref="A2:H2"/>
    <mergeCell ref="A6:H6"/>
    <mergeCell ref="A10:H10"/>
    <mergeCell ref="A14:H14"/>
    <mergeCell ref="A18:H18"/>
    <mergeCell ref="A22:H22"/>
    <mergeCell ref="A26:H26"/>
    <mergeCell ref="A30:H30"/>
    <mergeCell ref="A34:H34"/>
    <mergeCell ref="A38:H38"/>
    <mergeCell ref="A42:H42"/>
    <mergeCell ref="A46:H46"/>
    <mergeCell ref="A50:H50"/>
    <mergeCell ref="A54:H54"/>
    <mergeCell ref="A58:H58"/>
    <mergeCell ref="A62:H62"/>
    <mergeCell ref="A66:H66"/>
    <mergeCell ref="A70:H70"/>
    <mergeCell ref="A74:H74"/>
    <mergeCell ref="A78:F78"/>
    <mergeCell ref="A79:F79"/>
    <mergeCell ref="A81:F81"/>
    <mergeCell ref="A83:F83"/>
    <mergeCell ref="A85:F85"/>
    <mergeCell ref="A87:H8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90"/>
  <sheetViews>
    <sheetView windowProtection="false" showFormulas="false" showGridLines="true" showRowColHeaders="true" showZeros="true" rightToLeft="false" tabSelected="false" showOutlineSymbols="true" defaultGridColor="true" view="normal" topLeftCell="A58" colorId="64" zoomScale="60" zoomScaleNormal="60" zoomScalePageLayoutView="100" workbookViewId="0">
      <selection pane="topLeft" activeCell="E20" activeCellId="0" sqref="E20"/>
    </sheetView>
  </sheetViews>
  <sheetFormatPr defaultRowHeight="14.05"/>
  <cols>
    <col collapsed="false" hidden="false" max="4" min="1" style="0" width="19.3209302325581"/>
    <col collapsed="false" hidden="false" max="5" min="5" style="0" width="23.8744186046512"/>
    <col collapsed="false" hidden="false" max="6" min="6" style="0" width="41.2279069767442"/>
    <col collapsed="false" hidden="false" max="7" min="7" style="0" width="23.2604651162791"/>
    <col collapsed="false" hidden="false" max="8" min="8" style="0" width="24.7348837209302"/>
    <col collapsed="false" hidden="false" max="1025" min="9" style="0" width="12.4279069767442"/>
  </cols>
  <sheetData>
    <row r="1" customFormat="false" ht="17.65" hidden="false" customHeight="false" outlineLevel="0" collapsed="false">
      <c r="A1" s="99" t="s">
        <v>280</v>
      </c>
      <c r="B1" s="99"/>
      <c r="C1" s="99"/>
      <c r="D1" s="99"/>
      <c r="E1" s="99"/>
      <c r="F1" s="99"/>
      <c r="G1" s="99"/>
      <c r="H1" s="99"/>
    </row>
    <row r="2" customFormat="false" ht="14.05" hidden="false" customHeight="false" outlineLevel="0" collapsed="false">
      <c r="A2" s="3"/>
      <c r="B2" s="3"/>
      <c r="C2" s="3"/>
      <c r="D2" s="3"/>
      <c r="E2" s="3"/>
      <c r="F2" s="3"/>
      <c r="G2" s="3"/>
      <c r="H2" s="3"/>
    </row>
    <row r="3" customFormat="false" ht="15.25" hidden="false" customHeight="false" outlineLevel="0" collapsed="false">
      <c r="A3" s="100" t="s">
        <v>194</v>
      </c>
      <c r="B3" s="100"/>
      <c r="C3" s="100"/>
      <c r="D3" s="100"/>
      <c r="E3" s="100"/>
      <c r="F3" s="100"/>
      <c r="G3" s="100"/>
      <c r="H3" s="100"/>
    </row>
    <row r="4" customFormat="false" ht="15.25" hidden="false" customHeight="false" outlineLevel="0" collapsed="false">
      <c r="A4" s="102" t="s">
        <v>171</v>
      </c>
      <c r="B4" s="102" t="s">
        <v>172</v>
      </c>
      <c r="C4" s="102" t="s">
        <v>173</v>
      </c>
      <c r="D4" s="102" t="s">
        <v>174</v>
      </c>
      <c r="E4" s="102" t="s">
        <v>190</v>
      </c>
      <c r="F4" s="102" t="s">
        <v>191</v>
      </c>
      <c r="G4" s="102" t="s">
        <v>192</v>
      </c>
      <c r="H4" s="102" t="s">
        <v>193</v>
      </c>
    </row>
    <row r="5" customFormat="false" ht="15.25" hidden="false" customHeight="false" outlineLevel="0" collapsed="false">
      <c r="A5" s="105" t="n">
        <v>150</v>
      </c>
      <c r="B5" s="105" t="n">
        <v>150</v>
      </c>
      <c r="C5" s="105" t="n">
        <v>150</v>
      </c>
      <c r="D5" s="105" t="n">
        <f aca="false">(A5+B5+C5)/3</f>
        <v>150</v>
      </c>
      <c r="E5" s="106" t="n">
        <v>0.1</v>
      </c>
      <c r="F5" s="107" t="n">
        <v>10</v>
      </c>
      <c r="G5" s="105" t="n">
        <f aca="false">(D5/F5)/12*9</f>
        <v>11.25</v>
      </c>
      <c r="H5" s="105" t="n">
        <f aca="false">G5/18</f>
        <v>0.625</v>
      </c>
    </row>
    <row r="7" customFormat="false" ht="15.25" hidden="false" customHeight="false" outlineLevel="0" collapsed="false">
      <c r="A7" s="100" t="s">
        <v>195</v>
      </c>
      <c r="B7" s="100"/>
      <c r="C7" s="100"/>
      <c r="D7" s="100"/>
      <c r="E7" s="100"/>
      <c r="F7" s="100"/>
      <c r="G7" s="100"/>
      <c r="H7" s="100"/>
    </row>
    <row r="8" customFormat="false" ht="15.25" hidden="false" customHeight="false" outlineLevel="0" collapsed="false">
      <c r="A8" s="102" t="s">
        <v>171</v>
      </c>
      <c r="B8" s="102" t="s">
        <v>172</v>
      </c>
      <c r="C8" s="102" t="s">
        <v>173</v>
      </c>
      <c r="D8" s="102" t="s">
        <v>174</v>
      </c>
      <c r="E8" s="102" t="s">
        <v>190</v>
      </c>
      <c r="F8" s="103" t="s">
        <v>191</v>
      </c>
      <c r="G8" s="102" t="s">
        <v>192</v>
      </c>
      <c r="H8" s="102" t="s">
        <v>193</v>
      </c>
    </row>
    <row r="9" customFormat="false" ht="15.25" hidden="false" customHeight="false" outlineLevel="0" collapsed="false">
      <c r="A9" s="105" t="n">
        <v>99.96</v>
      </c>
      <c r="B9" s="105" t="n">
        <v>103.66</v>
      </c>
      <c r="C9" s="105" t="n">
        <v>99.96</v>
      </c>
      <c r="D9" s="105" t="n">
        <f aca="false">(A9+B9+C9)/3</f>
        <v>101.193333333333</v>
      </c>
      <c r="E9" s="106" t="n">
        <v>0.2</v>
      </c>
      <c r="F9" s="107" t="n">
        <v>5</v>
      </c>
      <c r="G9" s="105" t="n">
        <f aca="false">(D9/F9)/12</f>
        <v>1.68655555555556</v>
      </c>
      <c r="H9" s="105" t="n">
        <f aca="false">G9</f>
        <v>1.68655555555556</v>
      </c>
    </row>
    <row r="11" customFormat="false" ht="15.25" hidden="false" customHeight="false" outlineLevel="0" collapsed="false">
      <c r="A11" s="100" t="s">
        <v>196</v>
      </c>
      <c r="B11" s="100"/>
      <c r="C11" s="100"/>
      <c r="D11" s="100"/>
      <c r="E11" s="100"/>
      <c r="F11" s="100"/>
      <c r="G11" s="100"/>
      <c r="H11" s="100"/>
    </row>
    <row r="12" customFormat="false" ht="15.25" hidden="false" customHeight="false" outlineLevel="0" collapsed="false">
      <c r="A12" s="102" t="s">
        <v>171</v>
      </c>
      <c r="B12" s="102" t="s">
        <v>172</v>
      </c>
      <c r="C12" s="102" t="s">
        <v>173</v>
      </c>
      <c r="D12" s="102" t="s">
        <v>174</v>
      </c>
      <c r="E12" s="102" t="s">
        <v>190</v>
      </c>
      <c r="F12" s="103" t="s">
        <v>191</v>
      </c>
      <c r="G12" s="102" t="s">
        <v>192</v>
      </c>
      <c r="H12" s="102" t="s">
        <v>192</v>
      </c>
    </row>
    <row r="13" customFormat="false" ht="15.25" hidden="false" customHeight="false" outlineLevel="0" collapsed="false">
      <c r="A13" s="105" t="n">
        <v>35.99</v>
      </c>
      <c r="B13" s="105" t="n">
        <v>39.99</v>
      </c>
      <c r="C13" s="105" t="n">
        <v>34.9</v>
      </c>
      <c r="D13" s="105" t="n">
        <f aca="false">(A13+B13+C13)/3</f>
        <v>36.96</v>
      </c>
      <c r="E13" s="106" t="n">
        <v>0</v>
      </c>
      <c r="F13" s="106"/>
      <c r="G13" s="105" t="n">
        <f aca="false">D13</f>
        <v>36.96</v>
      </c>
      <c r="H13" s="105" t="n">
        <f aca="false">G13</f>
        <v>36.96</v>
      </c>
    </row>
    <row r="15" customFormat="false" ht="15.25" hidden="false" customHeight="false" outlineLevel="0" collapsed="false">
      <c r="A15" s="100" t="s">
        <v>197</v>
      </c>
      <c r="B15" s="100"/>
      <c r="C15" s="100"/>
      <c r="D15" s="100"/>
      <c r="E15" s="100"/>
      <c r="F15" s="100"/>
      <c r="G15" s="100"/>
      <c r="H15" s="100"/>
    </row>
    <row r="16" customFormat="false" ht="15.25" hidden="false" customHeight="false" outlineLevel="0" collapsed="false">
      <c r="A16" s="102" t="s">
        <v>171</v>
      </c>
      <c r="B16" s="102" t="s">
        <v>172</v>
      </c>
      <c r="C16" s="102" t="s">
        <v>173</v>
      </c>
      <c r="D16" s="102" t="s">
        <v>174</v>
      </c>
      <c r="E16" s="102" t="s">
        <v>190</v>
      </c>
      <c r="F16" s="102" t="s">
        <v>191</v>
      </c>
      <c r="G16" s="102" t="s">
        <v>192</v>
      </c>
      <c r="H16" s="102" t="s">
        <v>193</v>
      </c>
    </row>
    <row r="17" customFormat="false" ht="15.25" hidden="false" customHeight="false" outlineLevel="0" collapsed="false">
      <c r="A17" s="105" t="n">
        <v>989</v>
      </c>
      <c r="B17" s="105" t="n">
        <v>1124.57</v>
      </c>
      <c r="C17" s="105" t="n">
        <v>1180</v>
      </c>
      <c r="D17" s="105" t="n">
        <f aca="false">(A17+B17+C17)/3</f>
        <v>1097.85666666667</v>
      </c>
      <c r="E17" s="106" t="n">
        <v>0.1</v>
      </c>
      <c r="F17" s="107" t="n">
        <v>10</v>
      </c>
      <c r="G17" s="105" t="n">
        <f aca="false">(D17/F17)/12</f>
        <v>9.14880555555556</v>
      </c>
      <c r="H17" s="105" t="n">
        <f aca="false">G17/19</f>
        <v>0.481516081871345</v>
      </c>
    </row>
    <row r="19" customFormat="false" ht="15.25" hidden="false" customHeight="false" outlineLevel="0" collapsed="false">
      <c r="A19" s="100" t="s">
        <v>224</v>
      </c>
      <c r="B19" s="100"/>
      <c r="C19" s="100"/>
      <c r="D19" s="100"/>
      <c r="E19" s="100"/>
      <c r="F19" s="100"/>
      <c r="G19" s="100"/>
      <c r="H19" s="100"/>
    </row>
    <row r="20" customFormat="false" ht="15.25" hidden="false" customHeight="false" outlineLevel="0" collapsed="false">
      <c r="A20" s="102" t="s">
        <v>171</v>
      </c>
      <c r="B20" s="102" t="s">
        <v>172</v>
      </c>
      <c r="C20" s="102" t="s">
        <v>173</v>
      </c>
      <c r="D20" s="102" t="s">
        <v>174</v>
      </c>
      <c r="E20" s="102" t="s">
        <v>190</v>
      </c>
      <c r="F20" s="102" t="s">
        <v>191</v>
      </c>
      <c r="G20" s="102" t="s">
        <v>192</v>
      </c>
      <c r="H20" s="102" t="s">
        <v>193</v>
      </c>
    </row>
    <row r="21" customFormat="false" ht="15.25" hidden="false" customHeight="false" outlineLevel="0" collapsed="false">
      <c r="A21" s="105" t="n">
        <v>10</v>
      </c>
      <c r="B21" s="105" t="n">
        <v>10</v>
      </c>
      <c r="C21" s="105" t="n">
        <v>10</v>
      </c>
      <c r="D21" s="105" t="n">
        <f aca="false">(A21+B21+C21)/3</f>
        <v>10</v>
      </c>
      <c r="E21" s="106" t="n">
        <v>0.25</v>
      </c>
      <c r="F21" s="107" t="n">
        <v>4</v>
      </c>
      <c r="G21" s="105" t="n">
        <f aca="false">(D21/F21)/12*5</f>
        <v>1.04166666666667</v>
      </c>
      <c r="H21" s="105" t="n">
        <f aca="false">G21/19</f>
        <v>0.0548245614035088</v>
      </c>
    </row>
    <row r="23" customFormat="false" ht="15.25" hidden="false" customHeight="false" outlineLevel="0" collapsed="false">
      <c r="A23" s="100" t="s">
        <v>201</v>
      </c>
      <c r="B23" s="100"/>
      <c r="C23" s="100"/>
      <c r="D23" s="100"/>
      <c r="E23" s="100"/>
      <c r="F23" s="100"/>
      <c r="G23" s="100"/>
      <c r="H23" s="100"/>
    </row>
    <row r="24" customFormat="false" ht="15.25" hidden="false" customHeight="false" outlineLevel="0" collapsed="false">
      <c r="A24" s="102" t="s">
        <v>171</v>
      </c>
      <c r="B24" s="102" t="s">
        <v>172</v>
      </c>
      <c r="C24" s="102" t="s">
        <v>173</v>
      </c>
      <c r="D24" s="102" t="s">
        <v>174</v>
      </c>
      <c r="E24" s="102" t="s">
        <v>190</v>
      </c>
      <c r="F24" s="102" t="s">
        <v>191</v>
      </c>
      <c r="G24" s="102" t="s">
        <v>192</v>
      </c>
      <c r="H24" s="102" t="s">
        <v>193</v>
      </c>
    </row>
    <row r="25" customFormat="false" ht="15.25" hidden="false" customHeight="false" outlineLevel="0" collapsed="false">
      <c r="A25" s="105" t="n">
        <v>53.02</v>
      </c>
      <c r="B25" s="105" t="n">
        <v>53.02</v>
      </c>
      <c r="C25" s="105" t="n">
        <v>53.02</v>
      </c>
      <c r="D25" s="105" t="n">
        <f aca="false">(A25+B25+C25)/3</f>
        <v>53.02</v>
      </c>
      <c r="E25" s="106" t="n">
        <v>0.25</v>
      </c>
      <c r="F25" s="126" t="n">
        <v>4</v>
      </c>
      <c r="G25" s="105" t="n">
        <f aca="false">(D25/F25)/12*5</f>
        <v>5.52291666666667</v>
      </c>
      <c r="H25" s="105" t="n">
        <f aca="false">G25/19</f>
        <v>0.290679824561403</v>
      </c>
    </row>
    <row r="27" customFormat="false" ht="15.25" hidden="false" customHeight="false" outlineLevel="0" collapsed="false">
      <c r="A27" s="100" t="s">
        <v>225</v>
      </c>
      <c r="B27" s="100"/>
      <c r="C27" s="100"/>
      <c r="D27" s="100"/>
      <c r="E27" s="100"/>
      <c r="F27" s="100"/>
      <c r="G27" s="100"/>
      <c r="H27" s="100"/>
    </row>
    <row r="28" customFormat="false" ht="15.25" hidden="false" customHeight="false" outlineLevel="0" collapsed="false">
      <c r="A28" s="102" t="s">
        <v>171</v>
      </c>
      <c r="B28" s="102" t="s">
        <v>172</v>
      </c>
      <c r="C28" s="102" t="s">
        <v>173</v>
      </c>
      <c r="D28" s="102" t="s">
        <v>174</v>
      </c>
      <c r="E28" s="102" t="s">
        <v>190</v>
      </c>
      <c r="F28" s="102" t="s">
        <v>191</v>
      </c>
      <c r="G28" s="102" t="s">
        <v>192</v>
      </c>
      <c r="H28" s="102" t="s">
        <v>193</v>
      </c>
    </row>
    <row r="29" customFormat="false" ht="15.25" hidden="false" customHeight="false" outlineLevel="0" collapsed="false">
      <c r="A29" s="105" t="n">
        <v>134.46</v>
      </c>
      <c r="B29" s="105" t="n">
        <v>109.81</v>
      </c>
      <c r="C29" s="105" t="n">
        <v>143.1</v>
      </c>
      <c r="D29" s="105" t="n">
        <f aca="false">(A29+B29+C29)/3</f>
        <v>129.123333333333</v>
      </c>
      <c r="E29" s="106" t="n">
        <v>0.2</v>
      </c>
      <c r="F29" s="107" t="n">
        <v>5</v>
      </c>
      <c r="G29" s="105" t="n">
        <f aca="false">(D29/F29)/12*5</f>
        <v>10.7602777777778</v>
      </c>
      <c r="H29" s="105" t="n">
        <f aca="false">G29/19</f>
        <v>0.566330409356725</v>
      </c>
    </row>
    <row r="30" customFormat="false" ht="15.25" hidden="false" customHeight="false" outlineLevel="0" collapsed="false">
      <c r="A30" s="105"/>
      <c r="B30" s="105"/>
      <c r="C30" s="105"/>
      <c r="D30" s="105"/>
      <c r="E30" s="106"/>
      <c r="F30" s="106"/>
      <c r="G30" s="105"/>
      <c r="H30" s="105"/>
    </row>
    <row r="31" customFormat="false" ht="15.25" hidden="false" customHeight="false" outlineLevel="0" collapsed="false">
      <c r="A31" s="100" t="s">
        <v>205</v>
      </c>
      <c r="B31" s="100"/>
      <c r="C31" s="100"/>
      <c r="D31" s="100"/>
      <c r="E31" s="100"/>
      <c r="F31" s="100"/>
      <c r="G31" s="100"/>
      <c r="H31" s="100"/>
    </row>
    <row r="32" customFormat="false" ht="15.25" hidden="false" customHeight="false" outlineLevel="0" collapsed="false">
      <c r="A32" s="102" t="s">
        <v>171</v>
      </c>
      <c r="B32" s="102" t="s">
        <v>172</v>
      </c>
      <c r="C32" s="102" t="s">
        <v>173</v>
      </c>
      <c r="D32" s="102" t="s">
        <v>174</v>
      </c>
      <c r="E32" s="102" t="s">
        <v>190</v>
      </c>
      <c r="F32" s="102" t="s">
        <v>191</v>
      </c>
      <c r="G32" s="102" t="s">
        <v>192</v>
      </c>
      <c r="H32" s="102" t="s">
        <v>193</v>
      </c>
    </row>
    <row r="33" customFormat="false" ht="15.25" hidden="false" customHeight="false" outlineLevel="0" collapsed="false">
      <c r="A33" s="105" t="n">
        <v>17</v>
      </c>
      <c r="B33" s="105" t="n">
        <v>17</v>
      </c>
      <c r="C33" s="105" t="n">
        <v>17</v>
      </c>
      <c r="D33" s="105" t="n">
        <f aca="false">(A33+B33+C33)/3</f>
        <v>17</v>
      </c>
      <c r="E33" s="106" t="n">
        <v>0.2</v>
      </c>
      <c r="F33" s="107" t="n">
        <v>5</v>
      </c>
      <c r="G33" s="105" t="n">
        <f aca="false">(D33/F33)/12*3</f>
        <v>0.85</v>
      </c>
      <c r="H33" s="105" t="n">
        <f aca="false">G33/19</f>
        <v>0.0447368421052632</v>
      </c>
    </row>
    <row r="34" customFormat="false" ht="15.25" hidden="false" customHeight="false" outlineLevel="0" collapsed="false">
      <c r="A34" s="105"/>
      <c r="B34" s="105"/>
      <c r="C34" s="105"/>
      <c r="D34" s="105"/>
      <c r="E34" s="106"/>
      <c r="F34" s="106"/>
      <c r="G34" s="105"/>
      <c r="H34" s="105"/>
    </row>
    <row r="35" customFormat="false" ht="15.25" hidden="false" customHeight="false" outlineLevel="0" collapsed="false">
      <c r="A35" s="100" t="s">
        <v>228</v>
      </c>
      <c r="B35" s="100"/>
      <c r="C35" s="100"/>
      <c r="D35" s="100"/>
      <c r="E35" s="100"/>
      <c r="F35" s="100"/>
      <c r="G35" s="100"/>
      <c r="H35" s="100"/>
    </row>
    <row r="36" customFormat="false" ht="15.25" hidden="false" customHeight="false" outlineLevel="0" collapsed="false">
      <c r="A36" s="102" t="s">
        <v>171</v>
      </c>
      <c r="B36" s="102" t="s">
        <v>172</v>
      </c>
      <c r="C36" s="102" t="s">
        <v>173</v>
      </c>
      <c r="D36" s="102" t="s">
        <v>174</v>
      </c>
      <c r="E36" s="102" t="s">
        <v>190</v>
      </c>
      <c r="F36" s="102" t="s">
        <v>191</v>
      </c>
      <c r="G36" s="102" t="s">
        <v>192</v>
      </c>
      <c r="H36" s="102" t="s">
        <v>193</v>
      </c>
    </row>
    <row r="37" customFormat="false" ht="15.25" hidden="false" customHeight="false" outlineLevel="0" collapsed="false">
      <c r="A37" s="105" t="n">
        <v>134.98</v>
      </c>
      <c r="B37" s="105" t="n">
        <v>155.4</v>
      </c>
      <c r="C37" s="105" t="n">
        <v>152.6</v>
      </c>
      <c r="D37" s="105" t="n">
        <f aca="false">(A37+B37+C37)/3</f>
        <v>147.66</v>
      </c>
      <c r="E37" s="106" t="n">
        <v>1</v>
      </c>
      <c r="F37" s="107" t="n">
        <v>1</v>
      </c>
      <c r="G37" s="105" t="n">
        <f aca="false">(D37/F37)/12*2</f>
        <v>24.61</v>
      </c>
      <c r="H37" s="105" t="n">
        <f aca="false">G37/9</f>
        <v>2.73444444444444</v>
      </c>
    </row>
    <row r="38" customFormat="false" ht="15.25" hidden="false" customHeight="false" outlineLevel="0" collapsed="false">
      <c r="A38" s="105"/>
      <c r="B38" s="105"/>
      <c r="C38" s="105"/>
      <c r="D38" s="105"/>
      <c r="E38" s="106"/>
      <c r="F38" s="106"/>
      <c r="G38" s="105"/>
      <c r="H38" s="105"/>
    </row>
    <row r="39" customFormat="false" ht="15.25" hidden="false" customHeight="false" outlineLevel="0" collapsed="false">
      <c r="A39" s="100" t="s">
        <v>281</v>
      </c>
      <c r="B39" s="100"/>
      <c r="C39" s="100"/>
      <c r="D39" s="100"/>
      <c r="E39" s="100"/>
      <c r="F39" s="100"/>
      <c r="G39" s="100"/>
      <c r="H39" s="100"/>
      <c r="I39" s="125"/>
      <c r="J39" s="125"/>
    </row>
    <row r="40" customFormat="false" ht="15.25" hidden="false" customHeight="false" outlineLevel="0" collapsed="false">
      <c r="A40" s="102" t="s">
        <v>171</v>
      </c>
      <c r="B40" s="102" t="s">
        <v>172</v>
      </c>
      <c r="C40" s="102" t="s">
        <v>173</v>
      </c>
      <c r="D40" s="102" t="s">
        <v>174</v>
      </c>
      <c r="E40" s="102" t="s">
        <v>190</v>
      </c>
      <c r="F40" s="102" t="s">
        <v>191</v>
      </c>
      <c r="G40" s="102" t="s">
        <v>192</v>
      </c>
      <c r="H40" s="102" t="s">
        <v>193</v>
      </c>
      <c r="I40" s="125"/>
      <c r="J40" s="125"/>
    </row>
    <row r="41" customFormat="false" ht="15.25" hidden="false" customHeight="false" outlineLevel="0" collapsed="false">
      <c r="A41" s="105" t="n">
        <v>1058.9</v>
      </c>
      <c r="B41" s="105" t="n">
        <v>1047.07</v>
      </c>
      <c r="C41" s="105" t="n">
        <v>966.07</v>
      </c>
      <c r="D41" s="105" t="n">
        <f aca="false">(A41+B41+C41)/3</f>
        <v>1024.01333333333</v>
      </c>
      <c r="E41" s="106" t="n">
        <v>0.1</v>
      </c>
      <c r="F41" s="107" t="n">
        <v>10</v>
      </c>
      <c r="G41" s="105" t="n">
        <f aca="false">(D41/F41)/12</f>
        <v>8.53344444444445</v>
      </c>
      <c r="H41" s="105" t="n">
        <f aca="false">G41</f>
        <v>8.53344444444445</v>
      </c>
      <c r="I41" s="125"/>
      <c r="J41" s="125"/>
    </row>
    <row r="42" customFormat="false" ht="15.25" hidden="false" customHeight="false" outlineLevel="0" collapsed="false">
      <c r="A42" s="105"/>
      <c r="B42" s="105"/>
      <c r="C42" s="105"/>
      <c r="D42" s="105"/>
      <c r="E42" s="106"/>
      <c r="F42" s="107"/>
      <c r="G42" s="105"/>
      <c r="H42" s="105"/>
      <c r="I42" s="125"/>
      <c r="J42" s="125"/>
    </row>
    <row r="43" customFormat="false" ht="15.25" hidden="false" customHeight="false" outlineLevel="0" collapsed="false">
      <c r="A43" s="100" t="s">
        <v>206</v>
      </c>
      <c r="B43" s="100"/>
      <c r="C43" s="100"/>
      <c r="D43" s="100"/>
      <c r="E43" s="100"/>
      <c r="F43" s="100"/>
      <c r="G43" s="100"/>
      <c r="H43" s="100"/>
    </row>
    <row r="44" customFormat="false" ht="15.25" hidden="false" customHeight="false" outlineLevel="0" collapsed="false">
      <c r="A44" s="102" t="s">
        <v>171</v>
      </c>
      <c r="B44" s="102" t="s">
        <v>172</v>
      </c>
      <c r="C44" s="102" t="s">
        <v>173</v>
      </c>
      <c r="D44" s="102" t="s">
        <v>174</v>
      </c>
      <c r="E44" s="102" t="s">
        <v>190</v>
      </c>
      <c r="F44" s="102" t="s">
        <v>191</v>
      </c>
      <c r="G44" s="102" t="s">
        <v>192</v>
      </c>
      <c r="H44" s="102" t="s">
        <v>193</v>
      </c>
    </row>
    <row r="45" customFormat="false" ht="15.25" hidden="false" customHeight="false" outlineLevel="0" collapsed="false">
      <c r="A45" s="105" t="n">
        <v>6</v>
      </c>
      <c r="B45" s="105" t="n">
        <v>6</v>
      </c>
      <c r="C45" s="105" t="n">
        <v>6</v>
      </c>
      <c r="D45" s="105" t="n">
        <f aca="false">(A45+B45+C45)/3</f>
        <v>6</v>
      </c>
      <c r="E45" s="106" t="n">
        <v>1</v>
      </c>
      <c r="F45" s="107" t="n">
        <v>1</v>
      </c>
      <c r="G45" s="105" t="n">
        <f aca="false">(D45/F45)/12*57</f>
        <v>28.5</v>
      </c>
      <c r="H45" s="105" t="n">
        <f aca="false">G45/19</f>
        <v>1.5</v>
      </c>
    </row>
    <row r="46" customFormat="false" ht="15.25" hidden="false" customHeight="false" outlineLevel="0" collapsed="false">
      <c r="A46" s="105"/>
      <c r="B46" s="105"/>
      <c r="C46" s="105"/>
      <c r="D46" s="105"/>
      <c r="E46" s="106"/>
      <c r="F46" s="106"/>
      <c r="G46" s="105"/>
      <c r="H46" s="105"/>
    </row>
    <row r="47" customFormat="false" ht="15.25" hidden="false" customHeight="false" outlineLevel="0" collapsed="false">
      <c r="A47" s="100" t="s">
        <v>226</v>
      </c>
      <c r="B47" s="100"/>
      <c r="C47" s="100"/>
      <c r="D47" s="100"/>
      <c r="E47" s="100"/>
      <c r="F47" s="100"/>
      <c r="G47" s="100"/>
      <c r="H47" s="100"/>
    </row>
    <row r="48" customFormat="false" ht="15.25" hidden="false" customHeight="false" outlineLevel="0" collapsed="false">
      <c r="A48" s="102" t="s">
        <v>171</v>
      </c>
      <c r="B48" s="102" t="s">
        <v>172</v>
      </c>
      <c r="C48" s="102" t="s">
        <v>173</v>
      </c>
      <c r="D48" s="102" t="s">
        <v>174</v>
      </c>
      <c r="E48" s="102" t="s">
        <v>190</v>
      </c>
      <c r="F48" s="102" t="s">
        <v>191</v>
      </c>
      <c r="G48" s="102" t="s">
        <v>192</v>
      </c>
      <c r="H48" s="102" t="s">
        <v>193</v>
      </c>
    </row>
    <row r="49" customFormat="false" ht="15.25" hidden="false" customHeight="false" outlineLevel="0" collapsed="false">
      <c r="A49" s="105" t="n">
        <v>170.1</v>
      </c>
      <c r="B49" s="105" t="n">
        <v>140.7</v>
      </c>
      <c r="C49" s="105" t="n">
        <v>161.9</v>
      </c>
      <c r="D49" s="105" t="n">
        <f aca="false">(A49+B49+C49)/3</f>
        <v>157.566666666667</v>
      </c>
      <c r="E49" s="106" t="n">
        <v>1</v>
      </c>
      <c r="F49" s="107" t="n">
        <v>1</v>
      </c>
      <c r="G49" s="105" t="n">
        <f aca="false">(D49/F49)/12*27</f>
        <v>354.525</v>
      </c>
      <c r="H49" s="105" t="n">
        <f aca="false">G49/9</f>
        <v>39.3916666666667</v>
      </c>
    </row>
    <row r="50" customFormat="false" ht="15.25" hidden="false" customHeight="false" outlineLevel="0" collapsed="false">
      <c r="A50" s="105"/>
      <c r="B50" s="105"/>
      <c r="C50" s="105"/>
      <c r="D50" s="105"/>
      <c r="E50" s="106"/>
      <c r="F50" s="106"/>
      <c r="G50" s="105"/>
      <c r="H50" s="105"/>
    </row>
    <row r="51" customFormat="false" ht="15.25" hidden="false" customHeight="false" outlineLevel="0" collapsed="false">
      <c r="A51" s="100" t="s">
        <v>227</v>
      </c>
      <c r="B51" s="100"/>
      <c r="C51" s="100"/>
      <c r="D51" s="100"/>
      <c r="E51" s="100"/>
      <c r="F51" s="100"/>
      <c r="G51" s="100"/>
      <c r="H51" s="100"/>
    </row>
    <row r="52" customFormat="false" ht="15.25" hidden="false" customHeight="false" outlineLevel="0" collapsed="false">
      <c r="A52" s="102" t="s">
        <v>171</v>
      </c>
      <c r="B52" s="102" t="s">
        <v>172</v>
      </c>
      <c r="C52" s="102" t="s">
        <v>173</v>
      </c>
      <c r="D52" s="102" t="s">
        <v>174</v>
      </c>
      <c r="E52" s="102" t="s">
        <v>190</v>
      </c>
      <c r="F52" s="102" t="s">
        <v>191</v>
      </c>
      <c r="G52" s="102" t="s">
        <v>192</v>
      </c>
      <c r="H52" s="102" t="s">
        <v>193</v>
      </c>
    </row>
    <row r="53" customFormat="false" ht="15.25" hidden="false" customHeight="false" outlineLevel="0" collapsed="false">
      <c r="A53" s="105" t="n">
        <v>170</v>
      </c>
      <c r="B53" s="105" t="n">
        <v>210</v>
      </c>
      <c r="C53" s="105" t="n">
        <v>185</v>
      </c>
      <c r="D53" s="105" t="n">
        <f aca="false">(A53+B53+C53)/3</f>
        <v>188.333333333333</v>
      </c>
      <c r="E53" s="106" t="n">
        <v>1</v>
      </c>
      <c r="F53" s="107" t="n">
        <v>1</v>
      </c>
      <c r="G53" s="105" t="n">
        <f aca="false">(D53/F53)/12*54</f>
        <v>847.5</v>
      </c>
      <c r="H53" s="105" t="n">
        <f aca="false">G53/9</f>
        <v>94.1666666666667</v>
      </c>
    </row>
    <row r="54" customFormat="false" ht="15.25" hidden="false" customHeight="false" outlineLevel="0" collapsed="false">
      <c r="A54" s="105"/>
      <c r="B54" s="105"/>
      <c r="C54" s="105"/>
      <c r="D54" s="105"/>
      <c r="E54" s="106"/>
      <c r="F54" s="106"/>
      <c r="G54" s="105"/>
      <c r="H54" s="105"/>
    </row>
    <row r="55" customFormat="false" ht="15.25" hidden="false" customHeight="false" outlineLevel="0" collapsed="false">
      <c r="A55" s="100" t="s">
        <v>208</v>
      </c>
      <c r="B55" s="100"/>
      <c r="C55" s="100"/>
      <c r="D55" s="100"/>
      <c r="E55" s="100"/>
      <c r="F55" s="100"/>
      <c r="G55" s="100"/>
      <c r="H55" s="100"/>
    </row>
    <row r="56" customFormat="false" ht="15.25" hidden="false" customHeight="false" outlineLevel="0" collapsed="false">
      <c r="A56" s="102" t="s">
        <v>171</v>
      </c>
      <c r="B56" s="102" t="s">
        <v>172</v>
      </c>
      <c r="C56" s="102" t="s">
        <v>173</v>
      </c>
      <c r="D56" s="102" t="s">
        <v>174</v>
      </c>
      <c r="E56" s="102" t="s">
        <v>190</v>
      </c>
      <c r="F56" s="102" t="s">
        <v>191</v>
      </c>
      <c r="G56" s="102" t="s">
        <v>192</v>
      </c>
      <c r="H56" s="102" t="s">
        <v>193</v>
      </c>
    </row>
    <row r="57" customFormat="false" ht="15.25" hidden="false" customHeight="false" outlineLevel="0" collapsed="false">
      <c r="A57" s="105" t="n">
        <v>15</v>
      </c>
      <c r="B57" s="105" t="n">
        <v>15</v>
      </c>
      <c r="C57" s="105" t="n">
        <v>15</v>
      </c>
      <c r="D57" s="105" t="n">
        <f aca="false">(A57+B57+C57)/3</f>
        <v>15</v>
      </c>
      <c r="E57" s="106" t="n">
        <v>1</v>
      </c>
      <c r="F57" s="107" t="n">
        <v>1</v>
      </c>
      <c r="G57" s="105" t="n">
        <f aca="false">(D57/F57)/12*114</f>
        <v>142.5</v>
      </c>
      <c r="H57" s="105" t="n">
        <f aca="false">G57/19</f>
        <v>7.5</v>
      </c>
    </row>
    <row r="58" customFormat="false" ht="15.25" hidden="false" customHeight="false" outlineLevel="0" collapsed="false">
      <c r="A58" s="105"/>
      <c r="B58" s="105"/>
      <c r="C58" s="105"/>
      <c r="D58" s="105"/>
      <c r="E58" s="106"/>
      <c r="F58" s="106"/>
      <c r="G58" s="105"/>
      <c r="H58" s="105"/>
    </row>
    <row r="59" customFormat="false" ht="15.25" hidden="false" customHeight="false" outlineLevel="0" collapsed="false">
      <c r="A59" s="100" t="s">
        <v>210</v>
      </c>
      <c r="B59" s="100"/>
      <c r="C59" s="100"/>
      <c r="D59" s="100"/>
      <c r="E59" s="100"/>
      <c r="F59" s="100"/>
      <c r="G59" s="100"/>
      <c r="H59" s="100"/>
    </row>
    <row r="60" customFormat="false" ht="15.25" hidden="false" customHeight="false" outlineLevel="0" collapsed="false">
      <c r="A60" s="102" t="s">
        <v>171</v>
      </c>
      <c r="B60" s="102" t="s">
        <v>172</v>
      </c>
      <c r="C60" s="102" t="s">
        <v>173</v>
      </c>
      <c r="D60" s="102" t="s">
        <v>174</v>
      </c>
      <c r="E60" s="102" t="s">
        <v>190</v>
      </c>
      <c r="F60" s="102" t="s">
        <v>191</v>
      </c>
      <c r="G60" s="102" t="s">
        <v>192</v>
      </c>
      <c r="H60" s="102" t="s">
        <v>193</v>
      </c>
    </row>
    <row r="61" customFormat="false" ht="15.25" hidden="false" customHeight="false" outlineLevel="0" collapsed="false">
      <c r="A61" s="105" t="n">
        <v>10</v>
      </c>
      <c r="B61" s="105" t="n">
        <v>10</v>
      </c>
      <c r="C61" s="105" t="n">
        <v>10</v>
      </c>
      <c r="D61" s="105" t="n">
        <f aca="false">(A61+B61+C61)/3</f>
        <v>10</v>
      </c>
      <c r="E61" s="106" t="n">
        <v>1</v>
      </c>
      <c r="F61" s="107" t="n">
        <v>1</v>
      </c>
      <c r="G61" s="105" t="n">
        <f aca="false">(D61/F61)/12*57</f>
        <v>47.5</v>
      </c>
      <c r="H61" s="105" t="n">
        <f aca="false">G61/19</f>
        <v>2.5</v>
      </c>
    </row>
    <row r="62" customFormat="false" ht="15.25" hidden="false" customHeight="false" outlineLevel="0" collapsed="false">
      <c r="A62" s="105"/>
      <c r="B62" s="105"/>
      <c r="C62" s="105"/>
      <c r="D62" s="105"/>
      <c r="E62" s="106"/>
      <c r="F62" s="106"/>
      <c r="G62" s="105"/>
      <c r="H62" s="105"/>
    </row>
    <row r="63" customFormat="false" ht="15.25" hidden="false" customHeight="false" outlineLevel="0" collapsed="false">
      <c r="A63" s="100" t="s">
        <v>212</v>
      </c>
      <c r="B63" s="100"/>
      <c r="C63" s="100"/>
      <c r="D63" s="100"/>
      <c r="E63" s="100"/>
      <c r="F63" s="100"/>
      <c r="G63" s="100"/>
      <c r="H63" s="100"/>
    </row>
    <row r="64" customFormat="false" ht="15.25" hidden="false" customHeight="false" outlineLevel="0" collapsed="false">
      <c r="A64" s="102" t="s">
        <v>171</v>
      </c>
      <c r="B64" s="102" t="s">
        <v>172</v>
      </c>
      <c r="C64" s="102" t="s">
        <v>173</v>
      </c>
      <c r="D64" s="102" t="s">
        <v>174</v>
      </c>
      <c r="E64" s="102" t="s">
        <v>190</v>
      </c>
      <c r="F64" s="102" t="s">
        <v>191</v>
      </c>
      <c r="G64" s="102" t="s">
        <v>192</v>
      </c>
      <c r="H64" s="102" t="s">
        <v>193</v>
      </c>
    </row>
    <row r="65" customFormat="false" ht="15.25" hidden="false" customHeight="false" outlineLevel="0" collapsed="false">
      <c r="A65" s="105" t="n">
        <v>25</v>
      </c>
      <c r="B65" s="105" t="n">
        <v>25</v>
      </c>
      <c r="C65" s="105" t="n">
        <v>25</v>
      </c>
      <c r="D65" s="105" t="n">
        <f aca="false">(A65+B65+C65)/3</f>
        <v>25</v>
      </c>
      <c r="E65" s="106" t="n">
        <v>1</v>
      </c>
      <c r="F65" s="107" t="n">
        <v>1</v>
      </c>
      <c r="G65" s="105" t="n">
        <f aca="false">(D65/F65)/12*57</f>
        <v>118.75</v>
      </c>
      <c r="H65" s="105" t="n">
        <f aca="false">G65/19</f>
        <v>6.25</v>
      </c>
    </row>
    <row r="66" customFormat="false" ht="15.25" hidden="false" customHeight="false" outlineLevel="0" collapsed="false">
      <c r="A66" s="105"/>
      <c r="B66" s="105"/>
      <c r="C66" s="105"/>
      <c r="D66" s="105"/>
      <c r="E66" s="106"/>
      <c r="F66" s="106"/>
      <c r="G66" s="105"/>
      <c r="H66" s="105"/>
    </row>
    <row r="67" customFormat="false" ht="15.25" hidden="false" customHeight="false" outlineLevel="0" collapsed="false">
      <c r="A67" s="100" t="s">
        <v>213</v>
      </c>
      <c r="B67" s="100"/>
      <c r="C67" s="100"/>
      <c r="D67" s="100"/>
      <c r="E67" s="100"/>
      <c r="F67" s="100"/>
      <c r="G67" s="100"/>
      <c r="H67" s="100"/>
    </row>
    <row r="68" customFormat="false" ht="15.25" hidden="false" customHeight="false" outlineLevel="0" collapsed="false">
      <c r="A68" s="102" t="s">
        <v>171</v>
      </c>
      <c r="B68" s="102" t="s">
        <v>172</v>
      </c>
      <c r="C68" s="102" t="s">
        <v>173</v>
      </c>
      <c r="D68" s="102" t="s">
        <v>174</v>
      </c>
      <c r="E68" s="102" t="s">
        <v>190</v>
      </c>
      <c r="F68" s="102" t="s">
        <v>191</v>
      </c>
      <c r="G68" s="102" t="s">
        <v>192</v>
      </c>
      <c r="H68" s="102" t="s">
        <v>193</v>
      </c>
    </row>
    <row r="69" customFormat="false" ht="15.25" hidden="false" customHeight="false" outlineLevel="0" collapsed="false">
      <c r="A69" s="105" t="n">
        <v>50</v>
      </c>
      <c r="B69" s="105" t="n">
        <v>35</v>
      </c>
      <c r="C69" s="105" t="n">
        <v>45</v>
      </c>
      <c r="D69" s="105" t="n">
        <f aca="false">(A69+B69+C69)/3</f>
        <v>43.3333333333333</v>
      </c>
      <c r="E69" s="106" t="n">
        <v>1</v>
      </c>
      <c r="F69" s="107" t="n">
        <v>1</v>
      </c>
      <c r="G69" s="105" t="n">
        <f aca="false">(D69/F69)/12*57</f>
        <v>205.833333333333</v>
      </c>
      <c r="H69" s="105" t="n">
        <f aca="false">G69/19</f>
        <v>10.8333333333333</v>
      </c>
    </row>
    <row r="70" customFormat="false" ht="15.25" hidden="false" customHeight="false" outlineLevel="0" collapsed="false">
      <c r="A70" s="105"/>
      <c r="B70" s="105"/>
      <c r="C70" s="105"/>
      <c r="D70" s="105"/>
      <c r="E70" s="106"/>
      <c r="F70" s="106"/>
      <c r="G70" s="105"/>
      <c r="H70" s="105"/>
    </row>
    <row r="71" customFormat="false" ht="15.25" hidden="false" customHeight="false" outlineLevel="0" collapsed="false">
      <c r="A71" s="100" t="s">
        <v>229</v>
      </c>
      <c r="B71" s="100"/>
      <c r="C71" s="100"/>
      <c r="D71" s="100"/>
      <c r="E71" s="100"/>
      <c r="F71" s="100"/>
      <c r="G71" s="100"/>
      <c r="H71" s="100"/>
    </row>
    <row r="72" customFormat="false" ht="15.25" hidden="false" customHeight="false" outlineLevel="0" collapsed="false">
      <c r="A72" s="102" t="s">
        <v>171</v>
      </c>
      <c r="B72" s="102" t="s">
        <v>172</v>
      </c>
      <c r="C72" s="102" t="s">
        <v>173</v>
      </c>
      <c r="D72" s="102" t="s">
        <v>174</v>
      </c>
      <c r="E72" s="102" t="s">
        <v>190</v>
      </c>
      <c r="F72" s="102" t="s">
        <v>191</v>
      </c>
      <c r="G72" s="102" t="s">
        <v>192</v>
      </c>
      <c r="H72" s="102" t="s">
        <v>193</v>
      </c>
    </row>
    <row r="73" customFormat="false" ht="15.25" hidden="false" customHeight="false" outlineLevel="0" collapsed="false">
      <c r="A73" s="105" t="n">
        <v>280</v>
      </c>
      <c r="B73" s="105" t="n">
        <v>350</v>
      </c>
      <c r="C73" s="105" t="n">
        <v>320</v>
      </c>
      <c r="D73" s="105" t="n">
        <f aca="false">(A73+B73+C73)/3</f>
        <v>316.666666666667</v>
      </c>
      <c r="E73" s="106" t="n">
        <v>1</v>
      </c>
      <c r="F73" s="107" t="n">
        <v>1</v>
      </c>
      <c r="G73" s="105" t="n">
        <f aca="false">(D73/F73)/12*27</f>
        <v>712.5</v>
      </c>
      <c r="H73" s="105" t="n">
        <f aca="false">G73/9</f>
        <v>79.1666666666667</v>
      </c>
    </row>
    <row r="74" customFormat="false" ht="15.25" hidden="false" customHeight="false" outlineLevel="0" collapsed="false">
      <c r="A74" s="105"/>
      <c r="B74" s="105"/>
      <c r="C74" s="105"/>
      <c r="D74" s="105"/>
      <c r="E74" s="106"/>
      <c r="F74" s="106"/>
      <c r="G74" s="105"/>
      <c r="H74" s="105"/>
    </row>
    <row r="75" customFormat="false" ht="15.25" hidden="false" customHeight="false" outlineLevel="0" collapsed="false">
      <c r="A75" s="100" t="s">
        <v>215</v>
      </c>
      <c r="B75" s="100"/>
      <c r="C75" s="100"/>
      <c r="D75" s="100"/>
      <c r="E75" s="100"/>
      <c r="F75" s="100"/>
      <c r="G75" s="100"/>
      <c r="H75" s="100"/>
    </row>
    <row r="76" customFormat="false" ht="15.25" hidden="false" customHeight="false" outlineLevel="0" collapsed="false">
      <c r="A76" s="102" t="s">
        <v>171</v>
      </c>
      <c r="B76" s="102" t="s">
        <v>172</v>
      </c>
      <c r="C76" s="102" t="s">
        <v>173</v>
      </c>
      <c r="D76" s="102" t="s">
        <v>174</v>
      </c>
      <c r="E76" s="102" t="s">
        <v>190</v>
      </c>
      <c r="F76" s="102" t="s">
        <v>191</v>
      </c>
      <c r="G76" s="102" t="s">
        <v>192</v>
      </c>
      <c r="H76" s="102" t="s">
        <v>193</v>
      </c>
    </row>
    <row r="77" customFormat="false" ht="15.25" hidden="false" customHeight="false" outlineLevel="0" collapsed="false">
      <c r="A77" s="105" t="n">
        <v>3</v>
      </c>
      <c r="B77" s="105" t="n">
        <v>3</v>
      </c>
      <c r="C77" s="105" t="n">
        <v>3</v>
      </c>
      <c r="D77" s="105" t="n">
        <f aca="false">(A77+B77+C77)/3</f>
        <v>3</v>
      </c>
      <c r="E77" s="106" t="n">
        <v>1</v>
      </c>
      <c r="F77" s="107" t="n">
        <v>1</v>
      </c>
      <c r="G77" s="105" t="n">
        <f aca="false">(D77/12)*114</f>
        <v>28.5</v>
      </c>
      <c r="H77" s="105" t="n">
        <f aca="false">G77/19</f>
        <v>1.5</v>
      </c>
    </row>
    <row r="78" customFormat="false" ht="15.25" hidden="false" customHeight="false" outlineLevel="0" collapsed="false">
      <c r="A78" s="105"/>
      <c r="B78" s="105"/>
      <c r="C78" s="105"/>
      <c r="D78" s="105"/>
      <c r="E78" s="106"/>
      <c r="F78" s="106"/>
      <c r="G78" s="105"/>
      <c r="H78" s="105"/>
    </row>
    <row r="79" customFormat="false" ht="15.25" hidden="false" customHeight="false" outlineLevel="0" collapsed="false">
      <c r="A79" s="100" t="s">
        <v>230</v>
      </c>
      <c r="B79" s="100"/>
      <c r="C79" s="100"/>
      <c r="D79" s="100"/>
      <c r="E79" s="100"/>
      <c r="F79" s="100"/>
      <c r="G79" s="100"/>
      <c r="H79" s="100"/>
    </row>
    <row r="80" customFormat="false" ht="15.25" hidden="false" customHeight="false" outlineLevel="0" collapsed="false">
      <c r="A80" s="102" t="s">
        <v>171</v>
      </c>
      <c r="B80" s="102" t="s">
        <v>172</v>
      </c>
      <c r="C80" s="102" t="s">
        <v>173</v>
      </c>
      <c r="D80" s="102" t="s">
        <v>174</v>
      </c>
      <c r="E80" s="102" t="s">
        <v>190</v>
      </c>
      <c r="F80" s="102" t="s">
        <v>191</v>
      </c>
      <c r="G80" s="102" t="s">
        <v>192</v>
      </c>
      <c r="H80" s="102" t="s">
        <v>193</v>
      </c>
    </row>
    <row r="81" customFormat="false" ht="15.25" hidden="false" customHeight="false" outlineLevel="0" collapsed="false">
      <c r="A81" s="105" t="n">
        <v>330</v>
      </c>
      <c r="B81" s="105" t="n">
        <v>505</v>
      </c>
      <c r="C81" s="105" t="n">
        <v>450</v>
      </c>
      <c r="D81" s="105" t="n">
        <f aca="false">(A81+B81+C81)/3</f>
        <v>428.333333333333</v>
      </c>
      <c r="E81" s="106" t="n">
        <v>1</v>
      </c>
      <c r="F81" s="107" t="n">
        <v>1</v>
      </c>
      <c r="G81" s="105" t="n">
        <f aca="false">(D81/F81)/12*27</f>
        <v>963.75</v>
      </c>
      <c r="H81" s="105" t="n">
        <f aca="false">G81/9</f>
        <v>107.083333333333</v>
      </c>
    </row>
    <row r="82" customFormat="false" ht="15.25" hidden="false" customHeight="false" outlineLevel="0" collapsed="false">
      <c r="A82" s="105"/>
      <c r="B82" s="105"/>
      <c r="C82" s="105"/>
      <c r="D82" s="105"/>
      <c r="E82" s="106"/>
      <c r="F82" s="106"/>
      <c r="G82" s="105"/>
      <c r="H82" s="105"/>
    </row>
    <row r="83" customFormat="false" ht="15.25" hidden="false" customHeight="false" outlineLevel="0" collapsed="false">
      <c r="A83" s="127" t="s">
        <v>282</v>
      </c>
      <c r="B83" s="127"/>
      <c r="C83" s="127"/>
      <c r="D83" s="127"/>
      <c r="E83" s="127"/>
      <c r="F83" s="127"/>
      <c r="G83" s="114" t="n">
        <f aca="false">(G5+G9+G13+G17+G21+G25+G29+G33+G37+G41+G45+G49+G53+G57+G61+G65+G69+G73+G77+G81)</f>
        <v>3560.222</v>
      </c>
      <c r="H83" s="114" t="n">
        <f aca="false">(H5+H9+H13+H17+H21+H25+H29+H33+H37+H41+H45+H49+H53+H57+H61+H65+H69+H73+H77+H81)</f>
        <v>401.869198830409</v>
      </c>
    </row>
    <row r="84" customFormat="false" ht="15.25" hidden="false" customHeight="false" outlineLevel="0" collapsed="false">
      <c r="A84" s="134" t="s">
        <v>283</v>
      </c>
      <c r="B84" s="134"/>
      <c r="C84" s="134"/>
      <c r="D84" s="134"/>
      <c r="E84" s="134"/>
      <c r="F84" s="134"/>
      <c r="G84" s="136" t="n">
        <f aca="false">G13</f>
        <v>36.96</v>
      </c>
      <c r="H84" s="136" t="n">
        <f aca="false">H13</f>
        <v>36.96</v>
      </c>
      <c r="I84" s="125"/>
      <c r="J84" s="125"/>
    </row>
    <row r="85" customFormat="false" ht="14.05" hidden="false" customHeight="false" outlineLevel="0" collapsed="false">
      <c r="A85" s="3"/>
      <c r="B85" s="3"/>
      <c r="C85" s="3"/>
      <c r="D85" s="3"/>
      <c r="E85" s="3"/>
      <c r="F85" s="3"/>
    </row>
    <row r="86" customFormat="false" ht="15.25" hidden="false" customHeight="false" outlineLevel="0" collapsed="false">
      <c r="A86" s="118" t="s">
        <v>284</v>
      </c>
      <c r="B86" s="118"/>
      <c r="C86" s="118"/>
      <c r="D86" s="118"/>
      <c r="E86" s="118"/>
      <c r="F86" s="118"/>
      <c r="G86" s="119" t="n">
        <f aca="false">(G5+G9+G13+G17+G21+G25+G29+G33+G37+G41)</f>
        <v>110.363666666667</v>
      </c>
      <c r="H86" s="119" t="n">
        <f aca="false">(H5+H9+H13+H17+H21+H25+H29+H33+H37+H41)</f>
        <v>51.9775321637427</v>
      </c>
    </row>
    <row r="88" customFormat="false" ht="15.25" hidden="false" customHeight="false" outlineLevel="0" collapsed="false">
      <c r="A88" s="120" t="s">
        <v>285</v>
      </c>
      <c r="B88" s="120"/>
      <c r="C88" s="120"/>
      <c r="D88" s="120"/>
      <c r="E88" s="120"/>
      <c r="F88" s="120"/>
      <c r="G88" s="121" t="n">
        <f aca="false">(G45+G49+G53+G57+G61+G65+G69+G73+G77+G81)</f>
        <v>3449.85833333333</v>
      </c>
      <c r="H88" s="121" t="n">
        <f aca="false">(H45+H49+H53+H57+H61+H65+H69+H73+H77+H81)</f>
        <v>349.891666666667</v>
      </c>
    </row>
    <row r="90" customFormat="false" ht="46.75" hidden="false" customHeight="true" outlineLevel="0" collapsed="false">
      <c r="A90" s="133" t="s">
        <v>286</v>
      </c>
      <c r="B90" s="133"/>
      <c r="C90" s="133"/>
      <c r="D90" s="133"/>
      <c r="E90" s="133"/>
      <c r="F90" s="133"/>
      <c r="G90" s="133"/>
      <c r="H90" s="133"/>
    </row>
  </sheetData>
  <mergeCells count="28">
    <mergeCell ref="A1:H1"/>
    <mergeCell ref="A2:H2"/>
    <mergeCell ref="A3:H3"/>
    <mergeCell ref="A7:H7"/>
    <mergeCell ref="A11:H11"/>
    <mergeCell ref="A15:H15"/>
    <mergeCell ref="A19:H19"/>
    <mergeCell ref="A23:H23"/>
    <mergeCell ref="A27:H27"/>
    <mergeCell ref="A31:H31"/>
    <mergeCell ref="A35:H35"/>
    <mergeCell ref="A39:H39"/>
    <mergeCell ref="A43:H43"/>
    <mergeCell ref="A47:H47"/>
    <mergeCell ref="A51:H51"/>
    <mergeCell ref="A55:H55"/>
    <mergeCell ref="A59:H59"/>
    <mergeCell ref="A63:H63"/>
    <mergeCell ref="A67:H67"/>
    <mergeCell ref="A71:H71"/>
    <mergeCell ref="A75:H75"/>
    <mergeCell ref="A79:H79"/>
    <mergeCell ref="A83:F83"/>
    <mergeCell ref="A84:F84"/>
    <mergeCell ref="A85:F85"/>
    <mergeCell ref="A86:F86"/>
    <mergeCell ref="A88:F88"/>
    <mergeCell ref="A90:H9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G30"/>
  <sheetViews>
    <sheetView windowProtection="false" showFormulas="false" showGridLines="true" showRowColHeaders="true" showZeros="true" rightToLeft="false" tabSelected="false" showOutlineSymbols="true" defaultGridColor="true" view="normal" topLeftCell="A13" colorId="64" zoomScale="75" zoomScaleNormal="75" zoomScalePageLayoutView="100" workbookViewId="0">
      <selection pane="topLeft" activeCell="C17" activeCellId="0" sqref="C17"/>
    </sheetView>
  </sheetViews>
  <sheetFormatPr defaultRowHeight="13.65"/>
  <cols>
    <col collapsed="false" hidden="false" max="1" min="1" style="76" width="5.27441860465116"/>
    <col collapsed="false" hidden="false" max="2" min="2" style="0" width="67.1488372093023"/>
    <col collapsed="false" hidden="false" max="3" min="3" style="0" width="59.3162790697674"/>
    <col collapsed="false" hidden="false" max="4" min="4" style="0" width="14.1255813953488"/>
    <col collapsed="false" hidden="false" max="5" min="5" style="0" width="17.7441860465116"/>
    <col collapsed="false" hidden="false" max="6" min="6" style="0" width="15.6279069767442"/>
    <col collapsed="false" hidden="false" max="7" min="7" style="0" width="16.1302325581395"/>
    <col collapsed="false" hidden="false" max="257" min="8" style="76" width="8.86046511627907"/>
    <col collapsed="false" hidden="false" max="1025" min="258" style="0" width="8.86046511627907"/>
  </cols>
  <sheetData>
    <row r="1" customFormat="false" ht="13.65" hidden="false" customHeight="false" outlineLevel="0" collapsed="false">
      <c r="B1" s="147" t="s">
        <v>287</v>
      </c>
      <c r="C1" s="147"/>
      <c r="D1" s="147"/>
      <c r="E1" s="147"/>
      <c r="F1" s="147"/>
      <c r="G1" s="147"/>
    </row>
    <row r="2" customFormat="false" ht="13.65" hidden="false" customHeight="false" outlineLevel="0" collapsed="false">
      <c r="B2" s="147" t="s">
        <v>288</v>
      </c>
      <c r="C2" s="147"/>
      <c r="D2" s="147"/>
      <c r="E2" s="147"/>
      <c r="F2" s="147"/>
      <c r="G2" s="147"/>
    </row>
    <row r="3" customFormat="false" ht="13.65" hidden="false" customHeight="false" outlineLevel="0" collapsed="false">
      <c r="B3" s="148"/>
      <c r="C3" s="148"/>
      <c r="D3" s="148"/>
      <c r="E3" s="148"/>
      <c r="F3" s="148"/>
      <c r="G3" s="148"/>
    </row>
    <row r="4" customFormat="false" ht="15.3" hidden="false" customHeight="false" outlineLevel="0" collapsed="false">
      <c r="B4" s="149" t="s">
        <v>289</v>
      </c>
      <c r="C4" s="149" t="s">
        <v>290</v>
      </c>
      <c r="D4" s="147" t="s">
        <v>291</v>
      </c>
      <c r="E4" s="150" t="s">
        <v>292</v>
      </c>
      <c r="F4" s="150" t="s">
        <v>192</v>
      </c>
      <c r="G4" s="147" t="s">
        <v>293</v>
      </c>
    </row>
    <row r="5" customFormat="false" ht="52.6" hidden="false" customHeight="true" outlineLevel="0" collapsed="false">
      <c r="B5" s="151" t="s">
        <v>294</v>
      </c>
      <c r="C5" s="151" t="s">
        <v>295</v>
      </c>
      <c r="D5" s="152" t="n">
        <v>1</v>
      </c>
      <c r="E5" s="153" t="n">
        <f aca="false">'1-Vig. Noturno 12x36 N Mot. Campus I'!E125</f>
        <v>15648.0994862418</v>
      </c>
      <c r="F5" s="153" t="n">
        <f aca="false">E5*D5</f>
        <v>15648.0994862418</v>
      </c>
      <c r="G5" s="153" t="n">
        <f aca="false">F5*12</f>
        <v>187777.193834901</v>
      </c>
    </row>
    <row r="6" customFormat="false" ht="57.4" hidden="false" customHeight="true" outlineLevel="0" collapsed="false">
      <c r="B6" s="151" t="s">
        <v>296</v>
      </c>
      <c r="C6" s="151" t="s">
        <v>297</v>
      </c>
      <c r="D6" s="152" t="n">
        <v>2</v>
      </c>
      <c r="E6" s="153" t="n">
        <f aca="false">'2-Vig. diurno 12x36 Mot. Moto JK'!E127</f>
        <v>14172.8342492663</v>
      </c>
      <c r="F6" s="153" t="n">
        <f aca="false">E6*D6</f>
        <v>28345.6684985325</v>
      </c>
      <c r="G6" s="153" t="n">
        <f aca="false">F6*12</f>
        <v>340148.021982391</v>
      </c>
    </row>
    <row r="7" customFormat="false" ht="47.8" hidden="false" customHeight="true" outlineLevel="0" collapsed="false">
      <c r="B7" s="151" t="s">
        <v>298</v>
      </c>
      <c r="C7" s="151" t="s">
        <v>297</v>
      </c>
      <c r="D7" s="152" t="n">
        <v>1</v>
      </c>
      <c r="E7" s="153" t="n">
        <f aca="false">'3-Vig. diurno 12x36 Mot. Carro JK'!E127</f>
        <v>14468.1101923707</v>
      </c>
      <c r="F7" s="153" t="n">
        <f aca="false">E7*D7</f>
        <v>14468.1101923707</v>
      </c>
      <c r="G7" s="153" t="n">
        <f aca="false">F7*12</f>
        <v>173617.322308448</v>
      </c>
    </row>
    <row r="8" customFormat="false" ht="45.9" hidden="false" customHeight="true" outlineLevel="0" collapsed="false">
      <c r="B8" s="151" t="s">
        <v>299</v>
      </c>
      <c r="C8" s="151" t="s">
        <v>297</v>
      </c>
      <c r="D8" s="152" t="n">
        <v>1</v>
      </c>
      <c r="E8" s="153" t="n">
        <f aca="false">'4-Vig. diurno 12x36 N Mot. JK'!E125</f>
        <v>13204.1203623178</v>
      </c>
      <c r="F8" s="153" t="n">
        <f aca="false">E8*D8</f>
        <v>13204.1203623178</v>
      </c>
      <c r="G8" s="153" t="n">
        <f aca="false">F8*12</f>
        <v>158449.444347813</v>
      </c>
    </row>
    <row r="9" customFormat="false" ht="53.55" hidden="false" customHeight="true" outlineLevel="0" collapsed="false">
      <c r="B9" s="151" t="s">
        <v>300</v>
      </c>
      <c r="C9" s="151" t="s">
        <v>295</v>
      </c>
      <c r="D9" s="152" t="n">
        <v>2</v>
      </c>
      <c r="E9" s="153" t="n">
        <f aca="false">'5-Vig. noturno 12x36 Mot. Moto JK'!E127</f>
        <v>16521.4721325167</v>
      </c>
      <c r="F9" s="153" t="n">
        <f aca="false">E9*D9</f>
        <v>33042.9442650335</v>
      </c>
      <c r="G9" s="153" t="n">
        <f aca="false">F9*12</f>
        <v>396515.331180402</v>
      </c>
    </row>
    <row r="10" customFormat="false" ht="53.55" hidden="false" customHeight="true" outlineLevel="0" collapsed="false">
      <c r="B10" s="151" t="s">
        <v>301</v>
      </c>
      <c r="C10" s="151" t="s">
        <v>295</v>
      </c>
      <c r="D10" s="152" t="n">
        <v>1</v>
      </c>
      <c r="E10" s="153" t="n">
        <f aca="false">'6-Vig. noturno 12x36 Mot. Carro JK'!E127</f>
        <v>16816.7480756211</v>
      </c>
      <c r="F10" s="153" t="n">
        <f aca="false">E10*D10</f>
        <v>16816.7480756211</v>
      </c>
      <c r="G10" s="153" t="n">
        <f aca="false">F10*12</f>
        <v>201800.976907453</v>
      </c>
    </row>
    <row r="11" customFormat="false" ht="55.45" hidden="false" customHeight="true" outlineLevel="0" collapsed="false">
      <c r="B11" s="151" t="s">
        <v>302</v>
      </c>
      <c r="C11" s="151" t="s">
        <v>295</v>
      </c>
      <c r="D11" s="152" t="n">
        <v>2</v>
      </c>
      <c r="E11" s="153" t="n">
        <f aca="false">'7-Vig. noturno 12x36 N Mot. JK'!E125</f>
        <v>15552.7582455683</v>
      </c>
      <c r="F11" s="153" t="n">
        <f aca="false">E11*D11</f>
        <v>31105.5164911365</v>
      </c>
      <c r="G11" s="153" t="n">
        <f aca="false">F11*12</f>
        <v>373266.197893638</v>
      </c>
    </row>
    <row r="12" customFormat="false" ht="60.25" hidden="false" customHeight="true" outlineLevel="0" collapsed="false">
      <c r="B12" s="151" t="s">
        <v>303</v>
      </c>
      <c r="C12" s="154" t="s">
        <v>295</v>
      </c>
      <c r="D12" s="152" t="n">
        <v>1</v>
      </c>
      <c r="E12" s="153" t="n">
        <f aca="false">'8- Vig. noturno 12X36 N Mot. Faz. Experimental - Couto Magalhães'!E125</f>
        <v>15175.9756397904</v>
      </c>
      <c r="F12" s="153" t="n">
        <f aca="false">E12*D12</f>
        <v>15175.9756397904</v>
      </c>
      <c r="G12" s="153" t="n">
        <f aca="false">F12*12</f>
        <v>182111.707677484</v>
      </c>
    </row>
    <row r="13" customFormat="false" ht="55.45" hidden="false" customHeight="true" outlineLevel="0" collapsed="false">
      <c r="B13" s="151" t="s">
        <v>304</v>
      </c>
      <c r="C13" s="151" t="s">
        <v>297</v>
      </c>
      <c r="D13" s="152" t="n">
        <v>1</v>
      </c>
      <c r="E13" s="153" t="n">
        <f aca="false">'9 - Vig. diurno 12x36 N. Mot Faz. Experimental - Couto Magalhães'!E125</f>
        <v>12877.6567256508</v>
      </c>
      <c r="F13" s="153" t="n">
        <f aca="false">E13*D13</f>
        <v>12877.6567256508</v>
      </c>
      <c r="G13" s="153" t="n">
        <f aca="false">F13*12</f>
        <v>154531.880707809</v>
      </c>
    </row>
    <row r="14" customFormat="false" ht="54.5" hidden="false" customHeight="true" outlineLevel="0" collapsed="false">
      <c r="B14" s="151" t="s">
        <v>305</v>
      </c>
      <c r="C14" s="154" t="s">
        <v>295</v>
      </c>
      <c r="D14" s="152" t="n">
        <v>1</v>
      </c>
      <c r="E14" s="153" t="n">
        <f aca="false">'10-Vig. Noturno 12x36 Mot. Moto - Curvelo'!E127</f>
        <v>16049.3641713924</v>
      </c>
      <c r="F14" s="153" t="n">
        <f aca="false">E14*D14</f>
        <v>16049.3641713924</v>
      </c>
      <c r="G14" s="153" t="n">
        <f aca="false">F14*12</f>
        <v>192592.370056709</v>
      </c>
    </row>
    <row r="15" customFormat="false" ht="37.8" hidden="false" customHeight="false" outlineLevel="0" collapsed="false">
      <c r="B15" s="151" t="s">
        <v>306</v>
      </c>
      <c r="C15" s="151" t="s">
        <v>307</v>
      </c>
      <c r="D15" s="152" t="n">
        <v>1</v>
      </c>
      <c r="E15" s="153" t="n">
        <f aca="false">'11 - Vig. diurno 12x36 Mot. Moto Curvelo'!E127</f>
        <v>13775.4047581976</v>
      </c>
      <c r="F15" s="153" t="n">
        <f aca="false">E15*D15</f>
        <v>13775.4047581976</v>
      </c>
      <c r="G15" s="153" t="n">
        <f aca="false">F15*12</f>
        <v>165304.857098372</v>
      </c>
    </row>
    <row r="16" customFormat="false" ht="59.3" hidden="false" customHeight="true" outlineLevel="0" collapsed="false">
      <c r="B16" s="151" t="s">
        <v>308</v>
      </c>
      <c r="C16" s="151" t="s">
        <v>309</v>
      </c>
      <c r="D16" s="152" t="n">
        <v>4</v>
      </c>
      <c r="E16" s="153" t="n">
        <f aca="false">'12 -Vig. noturno 12x36 N. Mot Moradia Estudantil'!E125</f>
        <v>15575.8769995976</v>
      </c>
      <c r="F16" s="153" t="n">
        <f aca="false">E16*D16</f>
        <v>62303.5079983904</v>
      </c>
      <c r="G16" s="153" t="n">
        <f aca="false">F16*12</f>
        <v>747642.095980685</v>
      </c>
    </row>
    <row r="17" customFormat="false" ht="77.45" hidden="false" customHeight="true" outlineLevel="0" collapsed="false">
      <c r="B17" s="155" t="s">
        <v>310</v>
      </c>
      <c r="C17" s="151" t="s">
        <v>311</v>
      </c>
      <c r="D17" s="152" t="n">
        <v>1</v>
      </c>
      <c r="E17" s="153" t="n">
        <f aca="false">'13 - Vig.Supervisor  44 hs '!E124</f>
        <v>7896.93853516878</v>
      </c>
      <c r="F17" s="153" t="n">
        <f aca="false">E17*D17</f>
        <v>7896.93853516878</v>
      </c>
      <c r="G17" s="153" t="n">
        <f aca="false">F17*12</f>
        <v>94763.2624220254</v>
      </c>
    </row>
    <row r="18" customFormat="false" ht="14.05" hidden="false" customHeight="false" outlineLevel="0" collapsed="false">
      <c r="B18" s="147" t="s">
        <v>312</v>
      </c>
      <c r="C18" s="147"/>
      <c r="D18" s="147"/>
      <c r="E18" s="147"/>
      <c r="F18" s="156" t="n">
        <f aca="false">SUM(F5:F17)</f>
        <v>280710.055199844</v>
      </c>
      <c r="G18" s="153" t="n">
        <f aca="false">F18*12</f>
        <v>3368520.66239813</v>
      </c>
    </row>
    <row r="19" customFormat="false" ht="37.8" hidden="false" customHeight="true" outlineLevel="0" collapsed="false">
      <c r="B19" s="154" t="s">
        <v>313</v>
      </c>
      <c r="C19" s="154"/>
      <c r="D19" s="154"/>
      <c r="E19" s="154"/>
      <c r="F19" s="154"/>
      <c r="G19" s="154"/>
    </row>
    <row r="20" customFormat="false" ht="14.05" hidden="false" customHeight="false" outlineLevel="0" collapsed="false">
      <c r="B20" s="157"/>
      <c r="C20" s="157"/>
      <c r="D20" s="157"/>
      <c r="E20" s="157"/>
      <c r="F20" s="157"/>
      <c r="G20" s="157"/>
    </row>
    <row r="21" customFormat="false" ht="14.05" hidden="false" customHeight="false" outlineLevel="0" collapsed="false">
      <c r="B21" s="158" t="s">
        <v>314</v>
      </c>
      <c r="C21" s="158"/>
      <c r="D21" s="158"/>
      <c r="E21" s="158"/>
      <c r="F21" s="158"/>
      <c r="G21" s="158"/>
    </row>
    <row r="25" customFormat="false" ht="14.05" hidden="false" customHeight="false" outlineLevel="0" collapsed="false"/>
    <row r="26" customFormat="false" ht="14.05" hidden="false" customHeight="false" outlineLevel="0" collapsed="false"/>
    <row r="30" customFormat="false" ht="14.05" hidden="false" customHeight="false" outlineLevel="0" collapsed="false"/>
  </sheetData>
  <mergeCells count="6">
    <mergeCell ref="B1:G1"/>
    <mergeCell ref="B2:G2"/>
    <mergeCell ref="B3:G3"/>
    <mergeCell ref="B18:E18"/>
    <mergeCell ref="B19:G19"/>
    <mergeCell ref="B21:G24"/>
  </mergeCells>
  <printOptions headings="false" gridLines="false" gridLinesSet="true" horizontalCentered="false" verticalCentered="false"/>
  <pageMargins left="0" right="0" top="0.138888888888889" bottom="0.138888888888889" header="0" footer="0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&amp;C&amp;10&amp;A</oddHeader>
    <oddFooter>&amp;C&amp;10Página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E127"/>
  <sheetViews>
    <sheetView windowProtection="false" showFormulas="false" showGridLines="false" showRowColHeaders="true" showZeros="true" rightToLeft="false" tabSelected="false" showOutlineSymbols="true" defaultGridColor="true" view="normal" topLeftCell="A19" colorId="64" zoomScale="75" zoomScaleNormal="75" zoomScalePageLayoutView="100" workbookViewId="0">
      <selection pane="topLeft" activeCell="D37" activeCellId="0" sqref="D37"/>
    </sheetView>
  </sheetViews>
  <sheetFormatPr defaultRowHeight="14.05"/>
  <cols>
    <col collapsed="false" hidden="false" max="1" min="1" style="0" width="3.32093023255814"/>
    <col collapsed="false" hidden="false" max="2" min="2" style="0" width="5.29302325581395"/>
    <col collapsed="false" hidden="false" max="3" min="3" style="0" width="60.7906976744186"/>
    <col collapsed="false" hidden="false" max="4" min="4" style="0" width="16.246511627907"/>
    <col collapsed="false" hidden="false" max="5" min="5" style="0" width="19.6883720930233"/>
    <col collapsed="false" hidden="false" max="6" min="6" style="0" width="13.906976744186"/>
    <col collapsed="false" hidden="false" max="1025" min="7" style="0" width="8.36744186046512"/>
  </cols>
  <sheetData>
    <row r="3" customFormat="false" ht="14.05" hidden="false" customHeight="false" outlineLevel="0" collapsed="false">
      <c r="B3" s="2" t="s">
        <v>0</v>
      </c>
      <c r="C3" s="2"/>
      <c r="D3" s="2"/>
      <c r="E3" s="2"/>
    </row>
    <row r="4" customFormat="false" ht="14.05" hidden="false" customHeight="false" outlineLevel="0" collapsed="false">
      <c r="B4" s="2"/>
      <c r="C4" s="2"/>
      <c r="D4" s="2"/>
      <c r="E4" s="2"/>
    </row>
    <row r="5" customFormat="false" ht="14.05" hidden="false" customHeight="false" outlineLevel="0" collapsed="false">
      <c r="B5" s="2"/>
      <c r="C5" s="2"/>
      <c r="D5" s="2"/>
      <c r="E5" s="2"/>
    </row>
    <row r="6" customFormat="false" ht="15.25" hidden="false" customHeight="false" outlineLevel="0" collapsed="false">
      <c r="B6" s="4" t="s">
        <v>1</v>
      </c>
      <c r="C6" s="4"/>
      <c r="D6" s="5"/>
      <c r="E6" s="5"/>
    </row>
    <row r="7" customFormat="false" ht="15.25" hidden="false" customHeight="false" outlineLevel="0" collapsed="false">
      <c r="B7" s="4" t="s">
        <v>2</v>
      </c>
      <c r="C7" s="4"/>
      <c r="D7" s="5"/>
      <c r="E7" s="5"/>
    </row>
    <row r="8" customFormat="false" ht="15.25" hidden="false" customHeight="false" outlineLevel="0" collapsed="false">
      <c r="B8" s="4" t="s">
        <v>3</v>
      </c>
      <c r="C8" s="4"/>
      <c r="D8" s="5"/>
      <c r="E8" s="5"/>
    </row>
    <row r="9" customFormat="false" ht="15.25" hidden="false" customHeight="false" outlineLevel="0" collapsed="false">
      <c r="B9" s="4" t="s">
        <v>4</v>
      </c>
      <c r="C9" s="4"/>
      <c r="D9" s="5"/>
      <c r="E9" s="5"/>
    </row>
    <row r="10" customFormat="false" ht="15.25" hidden="false" customHeight="false" outlineLevel="0" collapsed="false">
      <c r="B10" s="2" t="s">
        <v>5</v>
      </c>
      <c r="C10" s="2"/>
      <c r="D10" s="2"/>
      <c r="E10" s="2"/>
    </row>
    <row r="11" customFormat="false" ht="15.25" hidden="false" customHeight="false" outlineLevel="0" collapsed="false">
      <c r="B11" s="6" t="s">
        <v>6</v>
      </c>
      <c r="C11" s="6" t="s">
        <v>7</v>
      </c>
      <c r="D11" s="5"/>
      <c r="E11" s="5"/>
    </row>
    <row r="12" customFormat="false" ht="15.25" hidden="false" customHeight="false" outlineLevel="0" collapsed="false">
      <c r="B12" s="6" t="s">
        <v>8</v>
      </c>
      <c r="C12" s="6" t="s">
        <v>9</v>
      </c>
      <c r="D12" s="2" t="s">
        <v>143</v>
      </c>
      <c r="E12" s="2"/>
    </row>
    <row r="13" customFormat="false" ht="15.25" hidden="false" customHeight="false" outlineLevel="0" collapsed="false">
      <c r="B13" s="6" t="s">
        <v>11</v>
      </c>
      <c r="C13" s="7" t="s">
        <v>12</v>
      </c>
      <c r="D13" s="2" t="s">
        <v>13</v>
      </c>
      <c r="E13" s="2"/>
    </row>
    <row r="14" customFormat="false" ht="15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</row>
    <row r="15" customFormat="false" ht="15.25" hidden="false" customHeight="false" outlineLevel="0" collapsed="false">
      <c r="B15" s="2" t="s">
        <v>16</v>
      </c>
      <c r="C15" s="2"/>
      <c r="D15" s="2"/>
      <c r="E15" s="2"/>
    </row>
    <row r="16" customFormat="false" ht="63.75" hidden="false" customHeight="true" outlineLevel="0" collapsed="false">
      <c r="B16" s="9" t="s">
        <v>17</v>
      </c>
      <c r="C16" s="9"/>
      <c r="D16" s="9" t="s">
        <v>18</v>
      </c>
      <c r="E16" s="9" t="s">
        <v>19</v>
      </c>
    </row>
    <row r="17" customFormat="false" ht="15.25" hidden="false" customHeight="false" outlineLevel="0" collapsed="false">
      <c r="B17" s="2" t="s">
        <v>20</v>
      </c>
      <c r="C17" s="2"/>
      <c r="D17" s="6" t="s">
        <v>21</v>
      </c>
      <c r="E17" s="2" t="n">
        <v>1</v>
      </c>
    </row>
    <row r="18" customFormat="false" ht="15.25" hidden="false" customHeight="false" outlineLevel="0" collapsed="false">
      <c r="B18" s="2" t="s">
        <v>22</v>
      </c>
      <c r="C18" s="2"/>
      <c r="D18" s="2"/>
      <c r="E18" s="2"/>
    </row>
    <row r="19" customFormat="false" ht="15.25" hidden="false" customHeight="false" outlineLevel="0" collapsed="false">
      <c r="B19" s="2" t="s">
        <v>23</v>
      </c>
      <c r="C19" s="2"/>
      <c r="D19" s="2"/>
      <c r="E19" s="2"/>
    </row>
    <row r="20" customFormat="false" ht="15.25" hidden="false" customHeight="false" outlineLevel="0" collapsed="false">
      <c r="B20" s="10" t="n">
        <v>1</v>
      </c>
      <c r="C20" s="6" t="s">
        <v>24</v>
      </c>
      <c r="D20" s="11" t="s">
        <v>148</v>
      </c>
      <c r="E20" s="11"/>
    </row>
    <row r="21" customFormat="false" ht="15.25" hidden="false" customHeight="false" outlineLevel="0" collapsed="false">
      <c r="B21" s="10" t="n">
        <v>2</v>
      </c>
      <c r="C21" s="6" t="s">
        <v>26</v>
      </c>
      <c r="D21" s="12" t="n">
        <v>1602.86</v>
      </c>
      <c r="E21" s="12"/>
    </row>
    <row r="22" customFormat="false" ht="15.25" hidden="false" customHeight="false" outlineLevel="0" collapsed="false">
      <c r="B22" s="10" t="n">
        <v>3</v>
      </c>
      <c r="C22" s="6" t="s">
        <v>27</v>
      </c>
      <c r="D22" s="11" t="s">
        <v>148</v>
      </c>
      <c r="E22" s="11"/>
    </row>
    <row r="23" customFormat="false" ht="15.25" hidden="false" customHeight="false" outlineLevel="0" collapsed="false">
      <c r="B23" s="10" t="n">
        <v>4</v>
      </c>
      <c r="C23" s="6" t="s">
        <v>28</v>
      </c>
      <c r="D23" s="13" t="n">
        <v>42736</v>
      </c>
      <c r="E23" s="13"/>
    </row>
    <row r="24" customFormat="false" ht="15.25" hidden="false" customHeight="false" outlineLevel="0" collapsed="false">
      <c r="B24" s="2" t="s">
        <v>29</v>
      </c>
      <c r="C24" s="2"/>
      <c r="D24" s="2"/>
      <c r="E24" s="2"/>
    </row>
    <row r="25" customFormat="false" ht="15.25" hidden="false" customHeight="false" outlineLevel="0" collapsed="false">
      <c r="B25" s="2" t="n">
        <v>1</v>
      </c>
      <c r="C25" s="2" t="s">
        <v>30</v>
      </c>
      <c r="D25" s="10" t="s">
        <v>31</v>
      </c>
      <c r="E25" s="14" t="s">
        <v>32</v>
      </c>
    </row>
    <row r="26" customFormat="false" ht="15.25" hidden="false" customHeight="false" outlineLevel="0" collapsed="false">
      <c r="B26" s="10" t="s">
        <v>6</v>
      </c>
      <c r="C26" s="6" t="s">
        <v>33</v>
      </c>
      <c r="D26" s="6"/>
      <c r="E26" s="74" t="n">
        <f aca="false">D21</f>
        <v>1602.86</v>
      </c>
    </row>
    <row r="27" customFormat="false" ht="15.25" hidden="false" customHeight="false" outlineLevel="0" collapsed="false">
      <c r="B27" s="10" t="s">
        <v>8</v>
      </c>
      <c r="C27" s="6" t="s">
        <v>34</v>
      </c>
      <c r="D27" s="17" t="n">
        <v>0.3</v>
      </c>
      <c r="E27" s="74" t="n">
        <f aca="false">E26*0.3</f>
        <v>480.858</v>
      </c>
    </row>
    <row r="28" customFormat="false" ht="15.25" hidden="false" customHeight="false" outlineLevel="0" collapsed="false">
      <c r="B28" s="10" t="s">
        <v>11</v>
      </c>
      <c r="C28" s="6" t="s">
        <v>35</v>
      </c>
      <c r="D28" s="17" t="n">
        <v>0.6</v>
      </c>
      <c r="E28" s="74" t="n">
        <f aca="false">(E26+E27)/220*1.6*15</f>
        <v>227.314690909091</v>
      </c>
    </row>
    <row r="29" customFormat="false" ht="15.25" hidden="false" customHeight="false" outlineLevel="0" collapsed="false">
      <c r="B29" s="10" t="s">
        <v>14</v>
      </c>
      <c r="C29" s="6" t="s">
        <v>36</v>
      </c>
      <c r="D29" s="17"/>
      <c r="E29" s="74"/>
    </row>
    <row r="30" customFormat="false" ht="15.25" hidden="false" customHeight="false" outlineLevel="0" collapsed="false">
      <c r="B30" s="10" t="s">
        <v>37</v>
      </c>
      <c r="C30" s="6" t="s">
        <v>38</v>
      </c>
      <c r="D30" s="6" t="n">
        <v>16</v>
      </c>
      <c r="E30" s="74" t="n">
        <f aca="false">(E26+E27)*2/220*8</f>
        <v>151.543127272727</v>
      </c>
    </row>
    <row r="31" customFormat="false" ht="15.25" hidden="false" customHeight="false" outlineLevel="0" collapsed="false">
      <c r="B31" s="10" t="s">
        <v>39</v>
      </c>
      <c r="C31" s="6" t="s">
        <v>40</v>
      </c>
      <c r="D31" s="19"/>
      <c r="E31" s="74" t="n">
        <f aca="false">(E28+E29+E30)*5/25</f>
        <v>75.7715636363636</v>
      </c>
    </row>
    <row r="32" customFormat="false" ht="15.25" hidden="false" customHeight="false" outlineLevel="0" collapsed="false">
      <c r="B32" s="20" t="s">
        <v>41</v>
      </c>
      <c r="C32" s="20"/>
      <c r="D32" s="20"/>
      <c r="E32" s="75" t="n">
        <f aca="false">SUM(E26:E31)</f>
        <v>2538.34738181818</v>
      </c>
    </row>
    <row r="33" customFormat="false" ht="15.25" hidden="false" customHeight="false" outlineLevel="0" collapsed="false">
      <c r="B33" s="2" t="s">
        <v>42</v>
      </c>
      <c r="C33" s="2"/>
      <c r="D33" s="2"/>
      <c r="E33" s="2"/>
    </row>
    <row r="34" customFormat="false" ht="15.25" hidden="false" customHeight="false" outlineLevel="0" collapsed="false">
      <c r="B34" s="2" t="n">
        <v>2</v>
      </c>
      <c r="C34" s="2" t="s">
        <v>43</v>
      </c>
      <c r="D34" s="10"/>
      <c r="E34" s="2" t="s">
        <v>32</v>
      </c>
    </row>
    <row r="35" customFormat="false" ht="15.25" hidden="false" customHeight="false" outlineLevel="0" collapsed="false">
      <c r="B35" s="10" t="s">
        <v>6</v>
      </c>
      <c r="C35" s="6" t="s">
        <v>44</v>
      </c>
      <c r="D35" s="23"/>
      <c r="E35" s="24" t="n">
        <f aca="false">'Equipamentos JK (Carro)'!H108</f>
        <v>160.714285714286</v>
      </c>
    </row>
    <row r="36" customFormat="false" ht="15.25" hidden="false" customHeight="false" outlineLevel="0" collapsed="false">
      <c r="B36" s="10" t="s">
        <v>8</v>
      </c>
      <c r="C36" s="6" t="s">
        <v>45</v>
      </c>
      <c r="D36" s="23" t="n">
        <v>15.99</v>
      </c>
      <c r="E36" s="24" t="n">
        <f aca="false">D36*0.9*15</f>
        <v>215.865</v>
      </c>
    </row>
    <row r="37" customFormat="false" ht="15.25" hidden="false" customHeight="false" outlineLevel="0" collapsed="false">
      <c r="B37" s="10" t="s">
        <v>11</v>
      </c>
      <c r="C37" s="6" t="s">
        <v>46</v>
      </c>
      <c r="D37" s="23"/>
      <c r="E37" s="23" t="n">
        <v>112.9</v>
      </c>
    </row>
    <row r="38" customFormat="false" ht="15.25" hidden="false" customHeight="false" outlineLevel="0" collapsed="false">
      <c r="B38" s="10" t="s">
        <v>14</v>
      </c>
      <c r="C38" s="6" t="s">
        <v>47</v>
      </c>
      <c r="D38" s="6"/>
      <c r="E38" s="23" t="n">
        <v>91.08</v>
      </c>
    </row>
    <row r="39" customFormat="false" ht="15.25" hidden="false" customHeight="false" outlineLevel="0" collapsed="false">
      <c r="B39" s="10" t="s">
        <v>37</v>
      </c>
      <c r="C39" s="6" t="s">
        <v>48</v>
      </c>
      <c r="D39" s="23"/>
      <c r="E39" s="23" t="n">
        <f aca="false">'Média Insumos e benefícios'!E8</f>
        <v>19.0666666666667</v>
      </c>
    </row>
    <row r="40" customFormat="false" ht="15.25" hidden="false" customHeight="false" outlineLevel="0" collapsed="false">
      <c r="B40" s="10" t="s">
        <v>39</v>
      </c>
      <c r="C40" s="6" t="s">
        <v>49</v>
      </c>
      <c r="D40" s="23"/>
      <c r="E40" s="23"/>
    </row>
    <row r="41" customFormat="false" ht="15.25" hidden="false" customHeight="false" outlineLevel="0" collapsed="false">
      <c r="B41" s="20" t="s">
        <v>50</v>
      </c>
      <c r="C41" s="20"/>
      <c r="D41" s="20"/>
      <c r="E41" s="21" t="n">
        <f aca="false">SUM(E35:E40)</f>
        <v>599.625952380953</v>
      </c>
    </row>
    <row r="42" customFormat="false" ht="18.6" hidden="false" customHeight="true" outlineLevel="0" collapsed="false">
      <c r="B42" s="2" t="s">
        <v>51</v>
      </c>
      <c r="C42" s="2"/>
      <c r="D42" s="2"/>
      <c r="E42" s="2"/>
    </row>
    <row r="43" customFormat="false" ht="15.25" hidden="false" customHeight="false" outlineLevel="0" collapsed="false">
      <c r="B43" s="2" t="n">
        <v>3</v>
      </c>
      <c r="C43" s="2" t="s">
        <v>52</v>
      </c>
      <c r="D43" s="10" t="s">
        <v>31</v>
      </c>
      <c r="E43" s="2" t="s">
        <v>32</v>
      </c>
    </row>
    <row r="44" customFormat="false" ht="15.9" hidden="false" customHeight="false" outlineLevel="0" collapsed="false">
      <c r="B44" s="10" t="s">
        <v>6</v>
      </c>
      <c r="C44" s="6" t="s">
        <v>53</v>
      </c>
      <c r="D44" s="6"/>
      <c r="E44" s="23" t="n">
        <f aca="false">'Equipamentos JK (Carro)'!H106</f>
        <v>172.134166666667</v>
      </c>
    </row>
    <row r="45" customFormat="false" ht="15.25" hidden="false" customHeight="false" outlineLevel="0" collapsed="false">
      <c r="B45" s="10" t="s">
        <v>8</v>
      </c>
      <c r="C45" s="6" t="s">
        <v>54</v>
      </c>
      <c r="D45" s="6"/>
      <c r="E45" s="23" t="n">
        <f aca="false">'Equipamentos JK (Carro)'!H104</f>
        <v>14.2225125081222</v>
      </c>
    </row>
    <row r="46" customFormat="false" ht="15.25" hidden="false" customHeight="false" outlineLevel="0" collapsed="false">
      <c r="B46" s="10" t="s">
        <v>11</v>
      </c>
      <c r="C46" s="6" t="s">
        <v>55</v>
      </c>
      <c r="D46" s="6"/>
      <c r="E46" s="23"/>
    </row>
    <row r="47" customFormat="false" ht="15.25" hidden="false" customHeight="false" outlineLevel="0" collapsed="false">
      <c r="B47" s="10" t="s">
        <v>14</v>
      </c>
      <c r="C47" s="6" t="s">
        <v>56</v>
      </c>
      <c r="D47" s="6"/>
      <c r="E47" s="23" t="n">
        <v>4</v>
      </c>
    </row>
    <row r="48" customFormat="false" ht="15.25" hidden="false" customHeight="false" outlineLevel="0" collapsed="false">
      <c r="B48" s="10" t="s">
        <v>37</v>
      </c>
      <c r="C48" s="6" t="s">
        <v>149</v>
      </c>
      <c r="D48" s="6"/>
      <c r="E48" s="23" t="n">
        <f aca="false">'Equipamentos JK (Carro)'!H95</f>
        <v>201.65546875</v>
      </c>
    </row>
    <row r="49" customFormat="false" ht="15.25" hidden="false" customHeight="false" outlineLevel="0" collapsed="false">
      <c r="B49" s="10" t="s">
        <v>39</v>
      </c>
      <c r="C49" s="6" t="s">
        <v>150</v>
      </c>
      <c r="D49" s="6"/>
      <c r="E49" s="23" t="n">
        <f aca="false">'Equipamentos JK (Carro)'!H99</f>
        <v>308.25</v>
      </c>
    </row>
    <row r="50" customFormat="false" ht="15.25" hidden="false" customHeight="false" outlineLevel="0" collapsed="false">
      <c r="B50" s="10" t="s">
        <v>69</v>
      </c>
      <c r="C50" s="6" t="s">
        <v>57</v>
      </c>
      <c r="D50" s="6"/>
      <c r="E50" s="23" t="n">
        <f aca="false">'Média Insumos e benefícios'!K8</f>
        <v>128.666666666667</v>
      </c>
    </row>
    <row r="51" customFormat="false" ht="15.25" hidden="false" customHeight="false" outlineLevel="0" collapsed="false">
      <c r="B51" s="20" t="s">
        <v>58</v>
      </c>
      <c r="C51" s="20"/>
      <c r="D51" s="20"/>
      <c r="E51" s="33" t="n">
        <f aca="false">SUM(E44:E50)</f>
        <v>828.928814591455</v>
      </c>
    </row>
    <row r="52" customFormat="false" ht="15.25" hidden="false" customHeight="false" outlineLevel="0" collapsed="false">
      <c r="B52" s="2" t="s">
        <v>59</v>
      </c>
      <c r="C52" s="2"/>
      <c r="D52" s="2"/>
      <c r="E52" s="2"/>
    </row>
    <row r="53" customFormat="false" ht="15.25" hidden="false" customHeight="false" outlineLevel="0" collapsed="false">
      <c r="B53" s="34" t="s">
        <v>60</v>
      </c>
      <c r="C53" s="34"/>
      <c r="D53" s="34"/>
      <c r="E53" s="34"/>
    </row>
    <row r="54" customFormat="false" ht="15.25" hidden="false" customHeight="false" outlineLevel="0" collapsed="false">
      <c r="B54" s="2" t="s">
        <v>61</v>
      </c>
      <c r="C54" s="2" t="s">
        <v>62</v>
      </c>
      <c r="D54" s="10" t="s">
        <v>31</v>
      </c>
      <c r="E54" s="2" t="s">
        <v>32</v>
      </c>
    </row>
    <row r="55" customFormat="false" ht="15.25" hidden="false" customHeight="false" outlineLevel="0" collapsed="false">
      <c r="B55" s="10" t="s">
        <v>6</v>
      </c>
      <c r="C55" s="6" t="s">
        <v>63</v>
      </c>
      <c r="D55" s="35" t="n">
        <v>0.2</v>
      </c>
      <c r="E55" s="24" t="n">
        <f aca="false">$E$32*D55</f>
        <v>507.669476363636</v>
      </c>
    </row>
    <row r="56" customFormat="false" ht="15.25" hidden="false" customHeight="false" outlineLevel="0" collapsed="false">
      <c r="B56" s="10" t="s">
        <v>8</v>
      </c>
      <c r="C56" s="6" t="s">
        <v>64</v>
      </c>
      <c r="D56" s="35" t="n">
        <v>0.015</v>
      </c>
      <c r="E56" s="24" t="n">
        <f aca="false">$E$32*D56</f>
        <v>38.0752107272727</v>
      </c>
    </row>
    <row r="57" customFormat="false" ht="15.25" hidden="false" customHeight="false" outlineLevel="0" collapsed="false">
      <c r="B57" s="10" t="s">
        <v>11</v>
      </c>
      <c r="C57" s="6" t="s">
        <v>65</v>
      </c>
      <c r="D57" s="35" t="n">
        <v>0.01</v>
      </c>
      <c r="E57" s="24" t="n">
        <f aca="false">$E$32*D57</f>
        <v>25.3834738181818</v>
      </c>
    </row>
    <row r="58" customFormat="false" ht="15.25" hidden="false" customHeight="false" outlineLevel="0" collapsed="false">
      <c r="B58" s="10" t="s">
        <v>14</v>
      </c>
      <c r="C58" s="6" t="s">
        <v>66</v>
      </c>
      <c r="D58" s="35" t="n">
        <v>0.002</v>
      </c>
      <c r="E58" s="24" t="n">
        <f aca="false">$E$32*D58</f>
        <v>5.07669476363636</v>
      </c>
    </row>
    <row r="59" customFormat="false" ht="15.25" hidden="false" customHeight="false" outlineLevel="0" collapsed="false">
      <c r="B59" s="10" t="s">
        <v>37</v>
      </c>
      <c r="C59" s="6" t="s">
        <v>67</v>
      </c>
      <c r="D59" s="35" t="n">
        <v>0.025</v>
      </c>
      <c r="E59" s="24" t="n">
        <f aca="false">$E$32*D59</f>
        <v>63.4586845454546</v>
      </c>
    </row>
    <row r="60" customFormat="false" ht="15.25" hidden="false" customHeight="false" outlineLevel="0" collapsed="false">
      <c r="B60" s="10" t="s">
        <v>39</v>
      </c>
      <c r="C60" s="6" t="s">
        <v>68</v>
      </c>
      <c r="D60" s="35" t="n">
        <v>0.08</v>
      </c>
      <c r="E60" s="24" t="n">
        <f aca="false">$E$32*D60</f>
        <v>203.067790545455</v>
      </c>
    </row>
    <row r="61" customFormat="false" ht="15.25" hidden="false" customHeight="false" outlineLevel="0" collapsed="false">
      <c r="B61" s="10" t="s">
        <v>69</v>
      </c>
      <c r="C61" s="6" t="s">
        <v>70</v>
      </c>
      <c r="D61" s="35" t="n">
        <v>0.03</v>
      </c>
      <c r="E61" s="24" t="n">
        <f aca="false">$E$32*D61</f>
        <v>76.1504214545455</v>
      </c>
    </row>
    <row r="62" customFormat="false" ht="15.25" hidden="false" customHeight="false" outlineLevel="0" collapsed="false">
      <c r="B62" s="10" t="s">
        <v>71</v>
      </c>
      <c r="C62" s="6" t="s">
        <v>72</v>
      </c>
      <c r="D62" s="35" t="n">
        <v>0.006</v>
      </c>
      <c r="E62" s="24" t="n">
        <f aca="false">$E$32*D62</f>
        <v>15.2300842909091</v>
      </c>
    </row>
    <row r="63" customFormat="false" ht="15.25" hidden="false" customHeight="false" outlineLevel="0" collapsed="false">
      <c r="B63" s="20" t="s">
        <v>73</v>
      </c>
      <c r="C63" s="20"/>
      <c r="D63" s="38" t="n">
        <v>0.368</v>
      </c>
      <c r="E63" s="21" t="n">
        <f aca="false">$E$32*D63</f>
        <v>934.111836509091</v>
      </c>
    </row>
    <row r="64" customFormat="false" ht="17.65" hidden="false" customHeight="true" outlineLevel="0" collapsed="false">
      <c r="B64" s="34" t="s">
        <v>74</v>
      </c>
      <c r="C64" s="34"/>
      <c r="D64" s="34"/>
      <c r="E64" s="34"/>
    </row>
    <row r="65" customFormat="false" ht="15.65" hidden="false" customHeight="false" outlineLevel="0" collapsed="false">
      <c r="B65" s="2" t="s">
        <v>75</v>
      </c>
      <c r="C65" s="34" t="s">
        <v>76</v>
      </c>
      <c r="D65" s="10" t="s">
        <v>31</v>
      </c>
      <c r="E65" s="2" t="s">
        <v>32</v>
      </c>
    </row>
    <row r="66" customFormat="false" ht="15.25" hidden="false" customHeight="false" outlineLevel="0" collapsed="false">
      <c r="B66" s="10" t="s">
        <v>6</v>
      </c>
      <c r="C66" s="6" t="s">
        <v>77</v>
      </c>
      <c r="D66" s="41" t="n">
        <v>0.0833</v>
      </c>
      <c r="E66" s="24" t="n">
        <f aca="false">$E$32*D66</f>
        <v>211.444336905455</v>
      </c>
    </row>
    <row r="67" customFormat="false" ht="15.25" hidden="false" customHeight="false" outlineLevel="0" collapsed="false">
      <c r="B67" s="10" t="s">
        <v>8</v>
      </c>
      <c r="C67" s="7" t="s">
        <v>78</v>
      </c>
      <c r="D67" s="41" t="n">
        <f aca="false">D66*D63</f>
        <v>0.0306544</v>
      </c>
      <c r="E67" s="24" t="n">
        <f aca="false">$E$32*D67</f>
        <v>77.8115159812073</v>
      </c>
    </row>
    <row r="68" customFormat="false" ht="15.25" hidden="false" customHeight="false" outlineLevel="0" collapsed="false">
      <c r="B68" s="20" t="s">
        <v>73</v>
      </c>
      <c r="C68" s="20"/>
      <c r="D68" s="41" t="n">
        <v>0.1139544</v>
      </c>
      <c r="E68" s="21" t="n">
        <f aca="false">$E$32*D68</f>
        <v>289.255852886662</v>
      </c>
    </row>
    <row r="69" customFormat="false" ht="15.25" hidden="false" customHeight="false" outlineLevel="0" collapsed="false">
      <c r="B69" s="34" t="s">
        <v>79</v>
      </c>
      <c r="C69" s="34"/>
      <c r="D69" s="34"/>
      <c r="E69" s="34"/>
    </row>
    <row r="70" customFormat="false" ht="15.25" hidden="false" customHeight="false" outlineLevel="0" collapsed="false">
      <c r="B70" s="2" t="s">
        <v>80</v>
      </c>
      <c r="C70" s="2" t="s">
        <v>81</v>
      </c>
      <c r="D70" s="10" t="s">
        <v>31</v>
      </c>
      <c r="E70" s="2" t="s">
        <v>32</v>
      </c>
    </row>
    <row r="71" customFormat="false" ht="15.25" hidden="false" customHeight="false" outlineLevel="0" collapsed="false">
      <c r="B71" s="10" t="s">
        <v>6</v>
      </c>
      <c r="C71" s="6" t="s">
        <v>81</v>
      </c>
      <c r="D71" s="44" t="n">
        <v>0.00074</v>
      </c>
      <c r="E71" s="24" t="n">
        <f aca="false">$E$32*D71</f>
        <v>1.87837706254545</v>
      </c>
    </row>
    <row r="72" customFormat="false" ht="15.25" hidden="false" customHeight="false" outlineLevel="0" collapsed="false">
      <c r="B72" s="10" t="s">
        <v>8</v>
      </c>
      <c r="C72" s="7" t="s">
        <v>82</v>
      </c>
      <c r="D72" s="44" t="n">
        <f aca="false">D71*D63</f>
        <v>0.00027232</v>
      </c>
      <c r="E72" s="24" t="n">
        <f aca="false">$E$32*D72</f>
        <v>0.691242759016727</v>
      </c>
    </row>
    <row r="73" customFormat="false" ht="15.25" hidden="false" customHeight="false" outlineLevel="0" collapsed="false">
      <c r="B73" s="20" t="s">
        <v>73</v>
      </c>
      <c r="C73" s="20"/>
      <c r="D73" s="46" t="n">
        <v>0.00104</v>
      </c>
      <c r="E73" s="21" t="n">
        <f aca="false">$E$32*D73</f>
        <v>2.63988127709091</v>
      </c>
    </row>
    <row r="74" customFormat="false" ht="15.25" hidden="false" customHeight="false" outlineLevel="0" collapsed="false">
      <c r="B74" s="34" t="s">
        <v>83</v>
      </c>
      <c r="C74" s="34"/>
      <c r="D74" s="34"/>
      <c r="E74" s="34"/>
    </row>
    <row r="75" customFormat="false" ht="15.25" hidden="false" customHeight="false" outlineLevel="0" collapsed="false">
      <c r="B75" s="2" t="s">
        <v>84</v>
      </c>
      <c r="C75" s="2" t="s">
        <v>85</v>
      </c>
      <c r="D75" s="10" t="s">
        <v>31</v>
      </c>
      <c r="E75" s="2" t="s">
        <v>32</v>
      </c>
    </row>
    <row r="76" customFormat="false" ht="15.25" hidden="false" customHeight="false" outlineLevel="0" collapsed="false">
      <c r="B76" s="10" t="s">
        <v>6</v>
      </c>
      <c r="C76" s="6" t="s">
        <v>86</v>
      </c>
      <c r="D76" s="41" t="n">
        <v>0.00416666666666667</v>
      </c>
      <c r="E76" s="24" t="n">
        <f aca="false">$E$32*D76</f>
        <v>10.5764474242424</v>
      </c>
    </row>
    <row r="77" customFormat="false" ht="15.25" hidden="false" customHeight="false" outlineLevel="0" collapsed="false">
      <c r="B77" s="10" t="s">
        <v>8</v>
      </c>
      <c r="C77" s="7" t="s">
        <v>87</v>
      </c>
      <c r="D77" s="41" t="n">
        <v>0.000333333333333333</v>
      </c>
      <c r="E77" s="24" t="n">
        <f aca="false">$E$32*D77</f>
        <v>0.846115793939393</v>
      </c>
    </row>
    <row r="78" customFormat="false" ht="15.25" hidden="false" customHeight="false" outlineLevel="0" collapsed="false">
      <c r="B78" s="10" t="s">
        <v>11</v>
      </c>
      <c r="C78" s="6" t="s">
        <v>88</v>
      </c>
      <c r="D78" s="41" t="n">
        <v>0.043</v>
      </c>
      <c r="E78" s="24" t="n">
        <f aca="false">$E$32*D78</f>
        <v>109.148937418182</v>
      </c>
    </row>
    <row r="79" customFormat="false" ht="15.25" hidden="false" customHeight="false" outlineLevel="0" collapsed="false">
      <c r="B79" s="10" t="s">
        <v>14</v>
      </c>
      <c r="C79" s="6" t="s">
        <v>89</v>
      </c>
      <c r="D79" s="47" t="n">
        <v>0.0194444444444444</v>
      </c>
      <c r="E79" s="24" t="n">
        <f aca="false">$E$32*D79</f>
        <v>49.3567546464645</v>
      </c>
    </row>
    <row r="80" customFormat="false" ht="15.25" hidden="false" customHeight="false" outlineLevel="0" collapsed="false">
      <c r="B80" s="10" t="s">
        <v>37</v>
      </c>
      <c r="C80" s="7" t="s">
        <v>90</v>
      </c>
      <c r="D80" s="41" t="n">
        <v>0.00715555555555556</v>
      </c>
      <c r="E80" s="24" t="n">
        <f aca="false">$E$32*D80</f>
        <v>18.163285709899</v>
      </c>
    </row>
    <row r="81" customFormat="false" ht="15.25" hidden="false" customHeight="false" outlineLevel="0" collapsed="false">
      <c r="B81" s="10" t="s">
        <v>39</v>
      </c>
      <c r="C81" s="6" t="s">
        <v>91</v>
      </c>
      <c r="D81" s="41" t="n">
        <v>0.000776</v>
      </c>
      <c r="E81" s="24" t="n">
        <f aca="false">$E$32*D81</f>
        <v>1.96975756829091</v>
      </c>
    </row>
    <row r="82" customFormat="false" ht="18.6" hidden="false" customHeight="true" outlineLevel="0" collapsed="false">
      <c r="B82" s="20" t="s">
        <v>73</v>
      </c>
      <c r="C82" s="20"/>
      <c r="D82" s="41" t="n">
        <v>0.074876</v>
      </c>
      <c r="E82" s="21" t="n">
        <f aca="false">$E$32*D82</f>
        <v>190.061298561018</v>
      </c>
    </row>
    <row r="83" customFormat="false" ht="18.6" hidden="false" customHeight="true" outlineLevel="0" collapsed="false">
      <c r="B83" s="34" t="s">
        <v>92</v>
      </c>
      <c r="C83" s="34"/>
      <c r="D83" s="34"/>
      <c r="E83" s="34"/>
    </row>
    <row r="84" customFormat="false" ht="15.25" hidden="false" customHeight="false" outlineLevel="0" collapsed="false">
      <c r="B84" s="2" t="s">
        <v>93</v>
      </c>
      <c r="C84" s="14" t="s">
        <v>94</v>
      </c>
      <c r="D84" s="48" t="s">
        <v>31</v>
      </c>
      <c r="E84" s="2" t="s">
        <v>32</v>
      </c>
    </row>
    <row r="85" customFormat="false" ht="15.25" hidden="false" customHeight="false" outlineLevel="0" collapsed="false">
      <c r="B85" s="10" t="s">
        <v>6</v>
      </c>
      <c r="C85" s="6" t="s">
        <v>95</v>
      </c>
      <c r="D85" s="49" t="n">
        <v>0.1111</v>
      </c>
      <c r="E85" s="24" t="n">
        <f aca="false">$E$32*D85</f>
        <v>282.01039412</v>
      </c>
    </row>
    <row r="86" customFormat="false" ht="15.25" hidden="false" customHeight="false" outlineLevel="0" collapsed="false">
      <c r="B86" s="10" t="s">
        <v>8</v>
      </c>
      <c r="C86" s="6" t="s">
        <v>96</v>
      </c>
      <c r="D86" s="49" t="n">
        <v>0.0166</v>
      </c>
      <c r="E86" s="24" t="n">
        <f aca="false">$E$32*D86</f>
        <v>42.1365665381818</v>
      </c>
    </row>
    <row r="87" customFormat="false" ht="15.25" hidden="false" customHeight="false" outlineLevel="0" collapsed="false">
      <c r="B87" s="10" t="s">
        <v>11</v>
      </c>
      <c r="C87" s="6" t="s">
        <v>97</v>
      </c>
      <c r="D87" s="49" t="n">
        <v>0.0002</v>
      </c>
      <c r="E87" s="24" t="n">
        <f aca="false">$E$32*D87</f>
        <v>0.507669476363636</v>
      </c>
    </row>
    <row r="88" customFormat="false" ht="15.25" hidden="false" customHeight="false" outlineLevel="0" collapsed="false">
      <c r="B88" s="10" t="s">
        <v>14</v>
      </c>
      <c r="C88" s="6" t="s">
        <v>98</v>
      </c>
      <c r="D88" s="49" t="n">
        <v>0.0028</v>
      </c>
      <c r="E88" s="24" t="n">
        <f aca="false">$E$32*D88</f>
        <v>7.10737266909091</v>
      </c>
    </row>
    <row r="89" customFormat="false" ht="17.85" hidden="false" customHeight="true" outlineLevel="0" collapsed="false">
      <c r="B89" s="10" t="s">
        <v>37</v>
      </c>
      <c r="C89" s="6" t="s">
        <v>99</v>
      </c>
      <c r="D89" s="49" t="n">
        <v>0.0003</v>
      </c>
      <c r="E89" s="24" t="n">
        <f aca="false">$E$32*D89</f>
        <v>0.761504214545455</v>
      </c>
    </row>
    <row r="90" customFormat="false" ht="15.25" hidden="false" customHeight="false" outlineLevel="0" collapsed="false">
      <c r="B90" s="10" t="s">
        <v>39</v>
      </c>
      <c r="C90" s="6" t="s">
        <v>100</v>
      </c>
      <c r="D90" s="49"/>
      <c r="E90" s="24" t="n">
        <v>0</v>
      </c>
    </row>
    <row r="91" customFormat="false" ht="15.25" hidden="false" customHeight="false" outlineLevel="0" collapsed="false">
      <c r="B91" s="34" t="s">
        <v>101</v>
      </c>
      <c r="C91" s="34"/>
      <c r="D91" s="53" t="n">
        <v>0.131</v>
      </c>
      <c r="E91" s="21" t="n">
        <f aca="false">$E$32*D91</f>
        <v>332.523507018182</v>
      </c>
    </row>
    <row r="92" customFormat="false" ht="30.75" hidden="false" customHeight="true" outlineLevel="0" collapsed="false">
      <c r="B92" s="10" t="s">
        <v>69</v>
      </c>
      <c r="C92" s="54" t="s">
        <v>102</v>
      </c>
      <c r="D92" s="49" t="n">
        <v>0.048208</v>
      </c>
      <c r="E92" s="24" t="n">
        <f aca="false">$E$32*D92</f>
        <v>122.368650582691</v>
      </c>
    </row>
    <row r="93" customFormat="false" ht="15.25" hidden="false" customHeight="false" outlineLevel="0" collapsed="false">
      <c r="B93" s="20" t="s">
        <v>73</v>
      </c>
      <c r="C93" s="20"/>
      <c r="D93" s="53" t="n">
        <v>0.179208</v>
      </c>
      <c r="E93" s="21" t="n">
        <f aca="false">$E$32*D93</f>
        <v>454.892157600873</v>
      </c>
    </row>
    <row r="94" customFormat="false" ht="17.25" hidden="false" customHeight="true" outlineLevel="0" collapsed="false">
      <c r="B94" s="14" t="s">
        <v>103</v>
      </c>
      <c r="C94" s="14"/>
      <c r="D94" s="14"/>
      <c r="E94" s="14"/>
    </row>
    <row r="95" customFormat="false" ht="15.25" hidden="false" customHeight="false" outlineLevel="0" collapsed="false">
      <c r="B95" s="2" t="n">
        <v>4</v>
      </c>
      <c r="C95" s="2" t="s">
        <v>104</v>
      </c>
      <c r="D95" s="10" t="s">
        <v>31</v>
      </c>
      <c r="E95" s="2" t="s">
        <v>32</v>
      </c>
    </row>
    <row r="96" customFormat="false" ht="15.65" hidden="false" customHeight="false" outlineLevel="0" collapsed="false">
      <c r="B96" s="10" t="s">
        <v>105</v>
      </c>
      <c r="C96" s="6" t="s">
        <v>106</v>
      </c>
      <c r="D96" s="56" t="n">
        <v>0.368</v>
      </c>
      <c r="E96" s="24" t="n">
        <f aca="false">$E$32*D96</f>
        <v>934.111836509091</v>
      </c>
    </row>
    <row r="97" customFormat="false" ht="15.65" hidden="false" customHeight="false" outlineLevel="0" collapsed="false">
      <c r="B97" s="10" t="s">
        <v>107</v>
      </c>
      <c r="C97" s="6" t="s">
        <v>108</v>
      </c>
      <c r="D97" s="56" t="n">
        <v>0.1139544</v>
      </c>
      <c r="E97" s="24" t="n">
        <f aca="false">$E$32*D97</f>
        <v>289.255852886662</v>
      </c>
    </row>
    <row r="98" customFormat="false" ht="15.65" hidden="false" customHeight="false" outlineLevel="0" collapsed="false">
      <c r="B98" s="10" t="s">
        <v>109</v>
      </c>
      <c r="C98" s="6" t="s">
        <v>110</v>
      </c>
      <c r="D98" s="56" t="n">
        <v>0.00104</v>
      </c>
      <c r="E98" s="24" t="n">
        <f aca="false">$E$32*D98</f>
        <v>2.63988127709091</v>
      </c>
    </row>
    <row r="99" customFormat="false" ht="15.65" hidden="false" customHeight="false" outlineLevel="0" collapsed="false">
      <c r="B99" s="10" t="s">
        <v>111</v>
      </c>
      <c r="C99" s="6" t="s">
        <v>112</v>
      </c>
      <c r="D99" s="56" t="n">
        <v>0.074876</v>
      </c>
      <c r="E99" s="24" t="n">
        <f aca="false">$E$32*D99</f>
        <v>190.061298561018</v>
      </c>
    </row>
    <row r="100" customFormat="false" ht="15.65" hidden="false" customHeight="false" outlineLevel="0" collapsed="false">
      <c r="B100" s="10" t="s">
        <v>113</v>
      </c>
      <c r="C100" s="6" t="s">
        <v>114</v>
      </c>
      <c r="D100" s="56" t="n">
        <v>0.179208</v>
      </c>
      <c r="E100" s="24" t="n">
        <f aca="false">$E$32*D100</f>
        <v>454.892157600873</v>
      </c>
    </row>
    <row r="101" customFormat="false" ht="15.65" hidden="false" customHeight="false" outlineLevel="0" collapsed="false">
      <c r="B101" s="10" t="s">
        <v>115</v>
      </c>
      <c r="C101" s="6" t="s">
        <v>100</v>
      </c>
      <c r="D101" s="56"/>
      <c r="E101" s="24"/>
    </row>
    <row r="102" customFormat="false" ht="15.25" hidden="false" customHeight="false" outlineLevel="0" collapsed="false">
      <c r="B102" s="20" t="s">
        <v>73</v>
      </c>
      <c r="C102" s="20"/>
      <c r="D102" s="57" t="n">
        <v>0.7370784</v>
      </c>
      <c r="E102" s="21" t="n">
        <f aca="false">$E$32*D102</f>
        <v>1870.96102683473</v>
      </c>
    </row>
    <row r="103" customFormat="false" ht="15.65" hidden="false" customHeight="false" outlineLevel="0" collapsed="false">
      <c r="B103" s="2" t="s">
        <v>116</v>
      </c>
      <c r="C103" s="2"/>
      <c r="D103" s="2"/>
      <c r="E103" s="2"/>
    </row>
    <row r="104" customFormat="false" ht="15.25" hidden="false" customHeight="false" outlineLevel="0" collapsed="false">
      <c r="B104" s="2" t="n">
        <v>5</v>
      </c>
      <c r="C104" s="2" t="s">
        <v>117</v>
      </c>
      <c r="D104" s="10" t="s">
        <v>31</v>
      </c>
      <c r="E104" s="2" t="s">
        <v>32</v>
      </c>
    </row>
    <row r="105" customFormat="false" ht="15.25" hidden="false" customHeight="false" outlineLevel="0" collapsed="false">
      <c r="B105" s="10" t="s">
        <v>6</v>
      </c>
      <c r="C105" s="59" t="s">
        <v>118</v>
      </c>
      <c r="D105" s="38" t="n">
        <v>0.06</v>
      </c>
      <c r="E105" s="33" t="n">
        <f aca="false">E124*D105</f>
        <v>350.271790537519</v>
      </c>
    </row>
    <row r="106" customFormat="false" ht="15.25" hidden="false" customHeight="false" outlineLevel="0" collapsed="false">
      <c r="B106" s="10" t="s">
        <v>8</v>
      </c>
      <c r="C106" s="59" t="s">
        <v>119</v>
      </c>
      <c r="D106" s="38" t="n">
        <v>0.0679</v>
      </c>
      <c r="E106" s="33" t="n">
        <f aca="false">(E124+E105)*D106</f>
        <v>420.174364202457</v>
      </c>
    </row>
    <row r="107" customFormat="false" ht="15.25" hidden="false" customHeight="false" outlineLevel="0" collapsed="false">
      <c r="B107" s="10" t="s">
        <v>11</v>
      </c>
      <c r="C107" s="59" t="s">
        <v>120</v>
      </c>
      <c r="D107" s="6"/>
      <c r="E107" s="6"/>
    </row>
    <row r="108" customFormat="false" ht="15.65" hidden="false" customHeight="false" outlineLevel="0" collapsed="false">
      <c r="B108" s="60" t="s">
        <v>121</v>
      </c>
      <c r="C108" s="6" t="s">
        <v>122</v>
      </c>
      <c r="D108" s="61" t="n">
        <v>3</v>
      </c>
      <c r="E108" s="62" t="n">
        <f aca="false">E126*D108/100</f>
        <v>217.02165288556</v>
      </c>
    </row>
    <row r="109" customFormat="false" ht="15.65" hidden="false" customHeight="false" outlineLevel="0" collapsed="false">
      <c r="B109" s="60"/>
      <c r="C109" s="6" t="s">
        <v>123</v>
      </c>
      <c r="D109" s="61" t="n">
        <v>0.65</v>
      </c>
      <c r="E109" s="62" t="n">
        <f aca="false">E126*D109/100</f>
        <v>47.0213581252046</v>
      </c>
    </row>
    <row r="110" customFormat="false" ht="17.1" hidden="false" customHeight="true" outlineLevel="0" collapsed="false">
      <c r="B110" s="60" t="s">
        <v>124</v>
      </c>
      <c r="C110" s="6" t="s">
        <v>125</v>
      </c>
      <c r="D110" s="61"/>
      <c r="E110" s="62"/>
    </row>
    <row r="111" customFormat="false" ht="29.85" hidden="false" customHeight="true" outlineLevel="0" collapsed="false">
      <c r="B111" s="60" t="s">
        <v>126</v>
      </c>
      <c r="C111" s="6" t="s">
        <v>127</v>
      </c>
      <c r="D111" s="61" t="n">
        <v>5</v>
      </c>
      <c r="E111" s="62" t="n">
        <f aca="false">E126*D111/100</f>
        <v>361.702754809266</v>
      </c>
    </row>
    <row r="112" customFormat="false" ht="15.25" hidden="false" customHeight="false" outlineLevel="0" collapsed="false">
      <c r="B112" s="60" t="s">
        <v>128</v>
      </c>
      <c r="C112" s="6" t="s">
        <v>129</v>
      </c>
      <c r="D112" s="38"/>
      <c r="E112" s="62"/>
    </row>
    <row r="113" customFormat="false" ht="17.1" hidden="false" customHeight="true" outlineLevel="0" collapsed="false"/>
    <row r="114" customFormat="false" ht="30.75" hidden="false" customHeight="true" outlineLevel="0" collapsed="false">
      <c r="B114" s="20" t="s">
        <v>130</v>
      </c>
      <c r="C114" s="20"/>
      <c r="D114" s="2" t="n">
        <v>11.25</v>
      </c>
      <c r="E114" s="33" t="n">
        <f aca="false">SUM(E105:E111)</f>
        <v>1396.19192056001</v>
      </c>
    </row>
    <row r="115" customFormat="false" ht="17.25" hidden="false" customHeight="true" outlineLevel="0" collapsed="false">
      <c r="B115" s="65" t="s">
        <v>131</v>
      </c>
      <c r="C115" s="65"/>
      <c r="D115" s="66" t="n">
        <f aca="false">(1-(D108+D109+D111)/100)</f>
        <v>0.9135</v>
      </c>
      <c r="E115" s="67"/>
    </row>
    <row r="116" customFormat="false" ht="15.25" hidden="false" customHeight="false" outlineLevel="0" collapsed="false">
      <c r="B116" s="65"/>
      <c r="C116" s="65"/>
      <c r="D116" s="68" t="n">
        <f aca="false">(E124+E105+E106)/D115</f>
        <v>7234.05509618532</v>
      </c>
      <c r="E116" s="69"/>
    </row>
    <row r="117" customFormat="false" ht="16.5" hidden="false" customHeight="true" outlineLevel="0" collapsed="false">
      <c r="B117" s="4" t="s">
        <v>132</v>
      </c>
      <c r="C117" s="4"/>
      <c r="D117" s="33"/>
      <c r="E117" s="71"/>
    </row>
    <row r="118" customFormat="false" ht="17.25" hidden="false" customHeight="true" outlineLevel="0" collapsed="false">
      <c r="B118" s="2" t="s">
        <v>133</v>
      </c>
      <c r="C118" s="2"/>
      <c r="D118" s="2"/>
      <c r="E118" s="2"/>
    </row>
    <row r="119" customFormat="false" ht="17.25" hidden="false" customHeight="true" outlineLevel="0" collapsed="false">
      <c r="B119" s="2"/>
      <c r="C119" s="14" t="s">
        <v>134</v>
      </c>
      <c r="D119" s="14"/>
      <c r="E119" s="2" t="s">
        <v>32</v>
      </c>
    </row>
    <row r="120" customFormat="false" ht="15.25" hidden="false" customHeight="false" outlineLevel="0" collapsed="false">
      <c r="B120" s="10" t="s">
        <v>6</v>
      </c>
      <c r="C120" s="34" t="s">
        <v>151</v>
      </c>
      <c r="D120" s="34"/>
      <c r="E120" s="71" t="n">
        <f aca="false">E32</f>
        <v>2538.34738181818</v>
      </c>
    </row>
    <row r="121" customFormat="false" ht="17.25" hidden="false" customHeight="true" outlineLevel="0" collapsed="false">
      <c r="B121" s="10" t="s">
        <v>8</v>
      </c>
      <c r="C121" s="34" t="s">
        <v>152</v>
      </c>
      <c r="D121" s="34"/>
      <c r="E121" s="23" t="n">
        <f aca="false">E41</f>
        <v>599.625952380953</v>
      </c>
    </row>
    <row r="122" customFormat="false" ht="15.25" hidden="false" customHeight="false" outlineLevel="0" collapsed="false">
      <c r="B122" s="10" t="s">
        <v>11</v>
      </c>
      <c r="C122" s="34" t="s">
        <v>153</v>
      </c>
      <c r="D122" s="34"/>
      <c r="E122" s="71" t="n">
        <f aca="false">E51</f>
        <v>828.928814591455</v>
      </c>
    </row>
    <row r="123" customFormat="false" ht="15.25" hidden="false" customHeight="false" outlineLevel="0" collapsed="false">
      <c r="B123" s="10" t="s">
        <v>14</v>
      </c>
      <c r="C123" s="34" t="s">
        <v>154</v>
      </c>
      <c r="D123" s="34"/>
      <c r="E123" s="23" t="n">
        <f aca="false">E102</f>
        <v>1870.96102683473</v>
      </c>
    </row>
    <row r="124" customFormat="false" ht="15.25" hidden="false" customHeight="false" outlineLevel="0" collapsed="false">
      <c r="B124" s="20" t="s">
        <v>139</v>
      </c>
      <c r="C124" s="20"/>
      <c r="D124" s="20"/>
      <c r="E124" s="72" t="n">
        <f aca="false">SUM(E120:E123)</f>
        <v>5837.86317562532</v>
      </c>
    </row>
    <row r="125" customFormat="false" ht="15.25" hidden="false" customHeight="false" outlineLevel="0" collapsed="false">
      <c r="B125" s="10" t="s">
        <v>37</v>
      </c>
      <c r="C125" s="2" t="s">
        <v>140</v>
      </c>
      <c r="D125" s="2"/>
      <c r="E125" s="23" t="n">
        <f aca="false">E114</f>
        <v>1396.19192056001</v>
      </c>
    </row>
    <row r="126" customFormat="false" ht="15.65" hidden="false" customHeight="false" outlineLevel="0" collapsed="false">
      <c r="B126" s="2" t="s">
        <v>141</v>
      </c>
      <c r="C126" s="2"/>
      <c r="D126" s="2"/>
      <c r="E126" s="73" t="n">
        <f aca="false">(E124+E105+E106)/(1-(D108+D109+D111)/100)</f>
        <v>7234.05509618533</v>
      </c>
    </row>
    <row r="127" customFormat="false" ht="15.65" hidden="false" customHeight="false" outlineLevel="0" collapsed="false">
      <c r="B127" s="2" t="s">
        <v>155</v>
      </c>
      <c r="C127" s="2"/>
      <c r="D127" s="2"/>
      <c r="E127" s="73" t="n">
        <f aca="false">E126*2</f>
        <v>14468.1101923707</v>
      </c>
    </row>
  </sheetData>
  <mergeCells count="58">
    <mergeCell ref="B3:E5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B24:E24"/>
    <mergeCell ref="B32:D32"/>
    <mergeCell ref="B33:E33"/>
    <mergeCell ref="B41:D41"/>
    <mergeCell ref="B42:E42"/>
    <mergeCell ref="B51:D51"/>
    <mergeCell ref="B52:E52"/>
    <mergeCell ref="B53:E53"/>
    <mergeCell ref="B63:C63"/>
    <mergeCell ref="B64:E64"/>
    <mergeCell ref="B68:C68"/>
    <mergeCell ref="B69:E69"/>
    <mergeCell ref="B73:C73"/>
    <mergeCell ref="B74:E74"/>
    <mergeCell ref="B82:C82"/>
    <mergeCell ref="B83:E83"/>
    <mergeCell ref="B91:C91"/>
    <mergeCell ref="B93:C93"/>
    <mergeCell ref="B94:E94"/>
    <mergeCell ref="B102:C102"/>
    <mergeCell ref="B103:E103"/>
    <mergeCell ref="B108:B109"/>
    <mergeCell ref="B114:C114"/>
    <mergeCell ref="B115:C116"/>
    <mergeCell ref="B117:C117"/>
    <mergeCell ref="B118:E118"/>
    <mergeCell ref="C119:D119"/>
    <mergeCell ref="C120:D120"/>
    <mergeCell ref="C121:D121"/>
    <mergeCell ref="C122:D122"/>
    <mergeCell ref="C123:D123"/>
    <mergeCell ref="B124:D124"/>
    <mergeCell ref="C125:D125"/>
    <mergeCell ref="B126:D126"/>
    <mergeCell ref="B127:D127"/>
  </mergeCells>
  <printOptions headings="false" gridLines="false" gridLinesSet="true" horizontalCentered="false" verticalCentered="false"/>
  <pageMargins left="0" right="0" top="0.138888888888889" bottom="0.138888888888889" header="0" footer="0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&amp;C&amp;10&amp;A</oddHeader>
    <oddFooter>&amp;C&amp;10Página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E125"/>
  <sheetViews>
    <sheetView windowProtection="false" showFormulas="false" showGridLines="true" showRowColHeaders="true" showZeros="true" rightToLeft="false" tabSelected="false" showOutlineSymbols="true" defaultGridColor="true" view="normal" topLeftCell="A25" colorId="64" zoomScale="75" zoomScaleNormal="75" zoomScalePageLayoutView="100" workbookViewId="0">
      <selection pane="topLeft" activeCell="D37" activeCellId="0" sqref="D37"/>
    </sheetView>
  </sheetViews>
  <sheetFormatPr defaultRowHeight="14.05"/>
  <cols>
    <col collapsed="false" hidden="false" max="1" min="1" style="0" width="3.32093023255814"/>
    <col collapsed="false" hidden="false" max="2" min="2" style="0" width="5.29302325581395"/>
    <col collapsed="false" hidden="false" max="3" min="3" style="0" width="60.7906976744186"/>
    <col collapsed="false" hidden="false" max="4" min="4" style="0" width="16.246511627907"/>
    <col collapsed="false" hidden="false" max="5" min="5" style="0" width="19.6883720930233"/>
    <col collapsed="false" hidden="false" max="6" min="6" style="0" width="13.906976744186"/>
    <col collapsed="false" hidden="false" max="1025" min="7" style="0" width="8.36744186046512"/>
  </cols>
  <sheetData>
    <row r="3" customFormat="false" ht="14.05" hidden="false" customHeight="false" outlineLevel="0" collapsed="false">
      <c r="B3" s="2" t="s">
        <v>0</v>
      </c>
      <c r="C3" s="2"/>
      <c r="D3" s="2"/>
      <c r="E3" s="2"/>
    </row>
    <row r="4" customFormat="false" ht="14.05" hidden="false" customHeight="false" outlineLevel="0" collapsed="false">
      <c r="B4" s="2"/>
      <c r="C4" s="2"/>
      <c r="D4" s="2"/>
      <c r="E4" s="2"/>
    </row>
    <row r="5" customFormat="false" ht="14.05" hidden="false" customHeight="false" outlineLevel="0" collapsed="false">
      <c r="B5" s="2"/>
      <c r="C5" s="2"/>
      <c r="D5" s="2"/>
      <c r="E5" s="2"/>
    </row>
    <row r="6" customFormat="false" ht="15.25" hidden="false" customHeight="false" outlineLevel="0" collapsed="false">
      <c r="B6" s="4" t="s">
        <v>1</v>
      </c>
      <c r="C6" s="4"/>
      <c r="D6" s="5"/>
      <c r="E6" s="5"/>
    </row>
    <row r="7" customFormat="false" ht="15.25" hidden="false" customHeight="false" outlineLevel="0" collapsed="false">
      <c r="B7" s="4" t="s">
        <v>2</v>
      </c>
      <c r="C7" s="4"/>
      <c r="D7" s="5"/>
      <c r="E7" s="5"/>
    </row>
    <row r="8" customFormat="false" ht="15.25" hidden="false" customHeight="false" outlineLevel="0" collapsed="false">
      <c r="B8" s="4" t="s">
        <v>3</v>
      </c>
      <c r="C8" s="4"/>
      <c r="D8" s="5"/>
      <c r="E8" s="5"/>
    </row>
    <row r="9" customFormat="false" ht="15.25" hidden="false" customHeight="false" outlineLevel="0" collapsed="false">
      <c r="B9" s="4" t="s">
        <v>4</v>
      </c>
      <c r="C9" s="4"/>
      <c r="D9" s="5"/>
      <c r="E9" s="5"/>
    </row>
    <row r="10" customFormat="false" ht="15.25" hidden="false" customHeight="false" outlineLevel="0" collapsed="false">
      <c r="B10" s="2" t="s">
        <v>5</v>
      </c>
      <c r="C10" s="2"/>
      <c r="D10" s="2"/>
      <c r="E10" s="2"/>
    </row>
    <row r="11" customFormat="false" ht="15.25" hidden="false" customHeight="false" outlineLevel="0" collapsed="false">
      <c r="B11" s="6" t="s">
        <v>6</v>
      </c>
      <c r="C11" s="6" t="s">
        <v>7</v>
      </c>
      <c r="D11" s="5"/>
      <c r="E11" s="5"/>
    </row>
    <row r="12" customFormat="false" ht="15.25" hidden="false" customHeight="false" outlineLevel="0" collapsed="false">
      <c r="B12" s="6" t="s">
        <v>8</v>
      </c>
      <c r="C12" s="6" t="s">
        <v>9</v>
      </c>
      <c r="D12" s="2" t="s">
        <v>143</v>
      </c>
      <c r="E12" s="2"/>
    </row>
    <row r="13" customFormat="false" ht="15.25" hidden="false" customHeight="false" outlineLevel="0" collapsed="false">
      <c r="B13" s="6" t="s">
        <v>11</v>
      </c>
      <c r="C13" s="7" t="s">
        <v>12</v>
      </c>
      <c r="D13" s="2" t="s">
        <v>13</v>
      </c>
      <c r="E13" s="2"/>
    </row>
    <row r="14" customFormat="false" ht="15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</row>
    <row r="15" customFormat="false" ht="15.25" hidden="false" customHeight="false" outlineLevel="0" collapsed="false">
      <c r="B15" s="2" t="s">
        <v>16</v>
      </c>
      <c r="C15" s="2"/>
      <c r="D15" s="2"/>
      <c r="E15" s="2"/>
    </row>
    <row r="16" customFormat="false" ht="46.85" hidden="false" customHeight="true" outlineLevel="0" collapsed="false">
      <c r="B16" s="9" t="s">
        <v>17</v>
      </c>
      <c r="C16" s="9"/>
      <c r="D16" s="9" t="s">
        <v>18</v>
      </c>
      <c r="E16" s="9" t="s">
        <v>19</v>
      </c>
    </row>
    <row r="17" customFormat="false" ht="15.25" hidden="false" customHeight="false" outlineLevel="0" collapsed="false">
      <c r="B17" s="2" t="s">
        <v>20</v>
      </c>
      <c r="C17" s="2"/>
      <c r="D17" s="6" t="s">
        <v>21</v>
      </c>
      <c r="E17" s="2" t="n">
        <v>1</v>
      </c>
    </row>
    <row r="18" customFormat="false" ht="15.25" hidden="false" customHeight="false" outlineLevel="0" collapsed="false">
      <c r="B18" s="2" t="s">
        <v>22</v>
      </c>
      <c r="C18" s="2"/>
      <c r="D18" s="2"/>
      <c r="E18" s="2"/>
    </row>
    <row r="19" customFormat="false" ht="14.9" hidden="false" customHeight="false" outlineLevel="0" collapsed="false">
      <c r="B19" s="2" t="s">
        <v>23</v>
      </c>
      <c r="C19" s="2"/>
      <c r="D19" s="2"/>
      <c r="E19" s="2"/>
    </row>
    <row r="20" customFormat="false" ht="15.25" hidden="false" customHeight="false" outlineLevel="0" collapsed="false">
      <c r="B20" s="10" t="n">
        <v>1</v>
      </c>
      <c r="C20" s="6" t="s">
        <v>24</v>
      </c>
      <c r="D20" s="77" t="s">
        <v>156</v>
      </c>
      <c r="E20" s="77"/>
    </row>
    <row r="21" customFormat="false" ht="15.25" hidden="false" customHeight="false" outlineLevel="0" collapsed="false">
      <c r="B21" s="10" t="n">
        <v>2</v>
      </c>
      <c r="C21" s="6" t="s">
        <v>26</v>
      </c>
      <c r="D21" s="12" t="n">
        <v>1602.86</v>
      </c>
      <c r="E21" s="12"/>
    </row>
    <row r="22" customFormat="false" ht="15.25" hidden="false" customHeight="false" outlineLevel="0" collapsed="false">
      <c r="B22" s="10" t="n">
        <v>3</v>
      </c>
      <c r="C22" s="6" t="s">
        <v>27</v>
      </c>
      <c r="D22" s="77" t="s">
        <v>156</v>
      </c>
      <c r="E22" s="77"/>
    </row>
    <row r="23" customFormat="false" ht="15.25" hidden="false" customHeight="false" outlineLevel="0" collapsed="false">
      <c r="B23" s="10" t="n">
        <v>4</v>
      </c>
      <c r="C23" s="6" t="s">
        <v>28</v>
      </c>
      <c r="D23" s="13" t="n">
        <v>42736</v>
      </c>
      <c r="E23" s="13"/>
    </row>
    <row r="24" customFormat="false" ht="15.25" hidden="false" customHeight="false" outlineLevel="0" collapsed="false">
      <c r="B24" s="2" t="s">
        <v>29</v>
      </c>
      <c r="C24" s="2"/>
      <c r="D24" s="2"/>
      <c r="E24" s="2"/>
    </row>
    <row r="25" customFormat="false" ht="15.25" hidden="false" customHeight="false" outlineLevel="0" collapsed="false">
      <c r="B25" s="2" t="n">
        <v>1</v>
      </c>
      <c r="C25" s="2" t="s">
        <v>30</v>
      </c>
      <c r="D25" s="10" t="s">
        <v>31</v>
      </c>
      <c r="E25" s="14" t="s">
        <v>32</v>
      </c>
    </row>
    <row r="26" customFormat="false" ht="15.25" hidden="false" customHeight="false" outlineLevel="0" collapsed="false">
      <c r="B26" s="10" t="s">
        <v>6</v>
      </c>
      <c r="C26" s="6" t="s">
        <v>33</v>
      </c>
      <c r="D26" s="6"/>
      <c r="E26" s="74" t="n">
        <f aca="false">D21</f>
        <v>1602.86</v>
      </c>
    </row>
    <row r="27" customFormat="false" ht="15.25" hidden="false" customHeight="false" outlineLevel="0" collapsed="false">
      <c r="B27" s="10" t="s">
        <v>8</v>
      </c>
      <c r="C27" s="6" t="s">
        <v>34</v>
      </c>
      <c r="D27" s="17" t="n">
        <v>0.3</v>
      </c>
      <c r="E27" s="74" t="n">
        <f aca="false">E26*0.3</f>
        <v>480.858</v>
      </c>
    </row>
    <row r="28" customFormat="false" ht="15.25" hidden="false" customHeight="false" outlineLevel="0" collapsed="false">
      <c r="B28" s="10" t="s">
        <v>11</v>
      </c>
      <c r="C28" s="6" t="s">
        <v>35</v>
      </c>
      <c r="D28" s="17" t="n">
        <v>0.6</v>
      </c>
      <c r="E28" s="74" t="n">
        <f aca="false">(E26+E27)/220*1.6*15</f>
        <v>227.314690909091</v>
      </c>
    </row>
    <row r="29" customFormat="false" ht="15.25" hidden="false" customHeight="false" outlineLevel="0" collapsed="false">
      <c r="B29" s="10" t="s">
        <v>14</v>
      </c>
      <c r="C29" s="6" t="s">
        <v>36</v>
      </c>
      <c r="D29" s="17"/>
      <c r="E29" s="74"/>
    </row>
    <row r="30" customFormat="false" ht="15.25" hidden="false" customHeight="false" outlineLevel="0" collapsed="false">
      <c r="B30" s="10" t="s">
        <v>37</v>
      </c>
      <c r="C30" s="6" t="s">
        <v>38</v>
      </c>
      <c r="D30" s="6" t="n">
        <v>16</v>
      </c>
      <c r="E30" s="74" t="n">
        <f aca="false">(E26+E27)*2/220*8</f>
        <v>151.543127272727</v>
      </c>
    </row>
    <row r="31" customFormat="false" ht="15.25" hidden="false" customHeight="false" outlineLevel="0" collapsed="false">
      <c r="B31" s="10" t="s">
        <v>39</v>
      </c>
      <c r="C31" s="6" t="s">
        <v>40</v>
      </c>
      <c r="D31" s="19"/>
      <c r="E31" s="74" t="n">
        <f aca="false">(E28+E29+E30)*5/25</f>
        <v>75.7715636363636</v>
      </c>
    </row>
    <row r="32" customFormat="false" ht="15.25" hidden="false" customHeight="false" outlineLevel="0" collapsed="false">
      <c r="B32" s="20" t="s">
        <v>41</v>
      </c>
      <c r="C32" s="20"/>
      <c r="D32" s="20"/>
      <c r="E32" s="75" t="n">
        <f aca="false">SUM(E26:E31)</f>
        <v>2538.34738181818</v>
      </c>
    </row>
    <row r="33" customFormat="false" ht="15.25" hidden="false" customHeight="false" outlineLevel="0" collapsed="false">
      <c r="B33" s="2" t="s">
        <v>42</v>
      </c>
      <c r="C33" s="2"/>
      <c r="D33" s="2"/>
      <c r="E33" s="2"/>
    </row>
    <row r="34" customFormat="false" ht="15.25" hidden="false" customHeight="false" outlineLevel="0" collapsed="false">
      <c r="B34" s="2" t="n">
        <v>2</v>
      </c>
      <c r="C34" s="2" t="s">
        <v>43</v>
      </c>
      <c r="D34" s="10"/>
      <c r="E34" s="2" t="s">
        <v>32</v>
      </c>
    </row>
    <row r="35" customFormat="false" ht="15.25" hidden="false" customHeight="false" outlineLevel="0" collapsed="false">
      <c r="B35" s="10" t="s">
        <v>6</v>
      </c>
      <c r="C35" s="6" t="s">
        <v>44</v>
      </c>
      <c r="D35" s="23"/>
      <c r="E35" s="24" t="n">
        <f aca="false">'Equipamentos JK (Não Mot.)'!H97</f>
        <v>160.714285714286</v>
      </c>
    </row>
    <row r="36" customFormat="false" ht="15.9" hidden="false" customHeight="false" outlineLevel="0" collapsed="false">
      <c r="B36" s="10" t="s">
        <v>8</v>
      </c>
      <c r="C36" s="6" t="s">
        <v>45</v>
      </c>
      <c r="D36" s="23" t="n">
        <v>15.99</v>
      </c>
      <c r="E36" s="24" t="n">
        <f aca="false">D36*0.9*15</f>
        <v>215.865</v>
      </c>
    </row>
    <row r="37" customFormat="false" ht="15.25" hidden="false" customHeight="false" outlineLevel="0" collapsed="false">
      <c r="B37" s="10" t="s">
        <v>11</v>
      </c>
      <c r="C37" s="6" t="s">
        <v>46</v>
      </c>
      <c r="D37" s="23"/>
      <c r="E37" s="23" t="n">
        <v>112.9</v>
      </c>
    </row>
    <row r="38" customFormat="false" ht="15.25" hidden="false" customHeight="false" outlineLevel="0" collapsed="false">
      <c r="B38" s="10" t="s">
        <v>14</v>
      </c>
      <c r="C38" s="6" t="s">
        <v>47</v>
      </c>
      <c r="D38" s="6"/>
      <c r="E38" s="23" t="n">
        <v>91.08</v>
      </c>
    </row>
    <row r="39" customFormat="false" ht="15.25" hidden="false" customHeight="false" outlineLevel="0" collapsed="false">
      <c r="B39" s="10" t="s">
        <v>37</v>
      </c>
      <c r="C39" s="6" t="s">
        <v>48</v>
      </c>
      <c r="D39" s="23"/>
      <c r="E39" s="23" t="n">
        <f aca="false">'Média Insumos e benefícios'!E10</f>
        <v>19.0666666666667</v>
      </c>
    </row>
    <row r="40" customFormat="false" ht="15.25" hidden="false" customHeight="false" outlineLevel="0" collapsed="false">
      <c r="B40" s="10" t="s">
        <v>39</v>
      </c>
      <c r="C40" s="6" t="s">
        <v>49</v>
      </c>
      <c r="D40" s="23"/>
      <c r="E40" s="23"/>
    </row>
    <row r="41" customFormat="false" ht="15.25" hidden="false" customHeight="false" outlineLevel="0" collapsed="false">
      <c r="B41" s="20" t="s">
        <v>50</v>
      </c>
      <c r="C41" s="20"/>
      <c r="D41" s="20"/>
      <c r="E41" s="21" t="n">
        <f aca="false">SUM(E35:E40)</f>
        <v>599.625952380953</v>
      </c>
    </row>
    <row r="42" customFormat="false" ht="18.6" hidden="false" customHeight="true" outlineLevel="0" collapsed="false">
      <c r="B42" s="2" t="s">
        <v>51</v>
      </c>
      <c r="C42" s="2"/>
      <c r="D42" s="2"/>
      <c r="E42" s="2"/>
    </row>
    <row r="43" customFormat="false" ht="15.25" hidden="false" customHeight="false" outlineLevel="0" collapsed="false">
      <c r="B43" s="2" t="n">
        <v>3</v>
      </c>
      <c r="C43" s="2" t="s">
        <v>52</v>
      </c>
      <c r="D43" s="10" t="s">
        <v>31</v>
      </c>
      <c r="E43" s="2" t="s">
        <v>32</v>
      </c>
    </row>
    <row r="44" customFormat="false" ht="15.25" hidden="false" customHeight="false" outlineLevel="0" collapsed="false">
      <c r="B44" s="10" t="s">
        <v>6</v>
      </c>
      <c r="C44" s="6" t="s">
        <v>53</v>
      </c>
      <c r="D44" s="6"/>
      <c r="E44" s="23" t="n">
        <f aca="false">'Equipamentos JK (Não Mot.)'!H95</f>
        <v>172.134166666667</v>
      </c>
    </row>
    <row r="45" customFormat="false" ht="15.25" hidden="false" customHeight="false" outlineLevel="0" collapsed="false">
      <c r="B45" s="10" t="s">
        <v>8</v>
      </c>
      <c r="C45" s="6" t="s">
        <v>54</v>
      </c>
      <c r="D45" s="6"/>
      <c r="E45" s="23" t="n">
        <f aca="false">'Equipamentos JK (Não Mot.)'!H93</f>
        <v>14.1097698180637</v>
      </c>
    </row>
    <row r="46" customFormat="false" ht="15.25" hidden="false" customHeight="false" outlineLevel="0" collapsed="false">
      <c r="B46" s="10" t="s">
        <v>11</v>
      </c>
      <c r="C46" s="6" t="s">
        <v>55</v>
      </c>
      <c r="D46" s="6"/>
      <c r="E46" s="23"/>
    </row>
    <row r="47" customFormat="false" ht="15.25" hidden="false" customHeight="false" outlineLevel="0" collapsed="false">
      <c r="B47" s="10" t="s">
        <v>14</v>
      </c>
      <c r="C47" s="6" t="s">
        <v>56</v>
      </c>
      <c r="D47" s="6"/>
      <c r="E47" s="23" t="n">
        <v>4</v>
      </c>
    </row>
    <row r="48" customFormat="false" ht="15.25" hidden="false" customHeight="false" outlineLevel="0" collapsed="false">
      <c r="B48" s="10" t="s">
        <v>37</v>
      </c>
      <c r="C48" s="6" t="s">
        <v>57</v>
      </c>
      <c r="D48" s="6"/>
      <c r="E48" s="23" t="n">
        <f aca="false">'Média Insumos e benefícios'!K10</f>
        <v>128.666666666667</v>
      </c>
    </row>
    <row r="49" customFormat="false" ht="15.25" hidden="false" customHeight="false" outlineLevel="0" collapsed="false">
      <c r="B49" s="20" t="s">
        <v>58</v>
      </c>
      <c r="C49" s="20"/>
      <c r="D49" s="20"/>
      <c r="E49" s="33" t="n">
        <f aca="false">SUM(E44:E48)</f>
        <v>318.910603151397</v>
      </c>
    </row>
    <row r="50" customFormat="false" ht="15.25" hidden="false" customHeight="false" outlineLevel="0" collapsed="false">
      <c r="B50" s="2" t="s">
        <v>59</v>
      </c>
      <c r="C50" s="2"/>
      <c r="D50" s="2"/>
      <c r="E50" s="2"/>
    </row>
    <row r="51" customFormat="false" ht="15.25" hidden="false" customHeight="false" outlineLevel="0" collapsed="false">
      <c r="B51" s="34" t="s">
        <v>60</v>
      </c>
      <c r="C51" s="34"/>
      <c r="D51" s="34"/>
      <c r="E51" s="34"/>
    </row>
    <row r="52" customFormat="false" ht="15.25" hidden="false" customHeight="false" outlineLevel="0" collapsed="false">
      <c r="B52" s="2" t="s">
        <v>61</v>
      </c>
      <c r="C52" s="2" t="s">
        <v>62</v>
      </c>
      <c r="D52" s="10" t="s">
        <v>31</v>
      </c>
      <c r="E52" s="2" t="s">
        <v>32</v>
      </c>
    </row>
    <row r="53" customFormat="false" ht="15.25" hidden="false" customHeight="false" outlineLevel="0" collapsed="false">
      <c r="B53" s="10" t="s">
        <v>6</v>
      </c>
      <c r="C53" s="6" t="s">
        <v>63</v>
      </c>
      <c r="D53" s="35" t="n">
        <v>0.2</v>
      </c>
      <c r="E53" s="78" t="n">
        <f aca="false">$E$32*D53</f>
        <v>507.669476363636</v>
      </c>
    </row>
    <row r="54" customFormat="false" ht="15.25" hidden="false" customHeight="false" outlineLevel="0" collapsed="false">
      <c r="B54" s="10" t="s">
        <v>8</v>
      </c>
      <c r="C54" s="6" t="s">
        <v>64</v>
      </c>
      <c r="D54" s="35" t="n">
        <v>0.015</v>
      </c>
      <c r="E54" s="78" t="n">
        <f aca="false">$E$32*D54</f>
        <v>38.0752107272727</v>
      </c>
    </row>
    <row r="55" customFormat="false" ht="15.25" hidden="false" customHeight="false" outlineLevel="0" collapsed="false">
      <c r="B55" s="10" t="s">
        <v>11</v>
      </c>
      <c r="C55" s="6" t="s">
        <v>65</v>
      </c>
      <c r="D55" s="35" t="n">
        <v>0.01</v>
      </c>
      <c r="E55" s="78" t="n">
        <f aca="false">$E$32*D55</f>
        <v>25.3834738181818</v>
      </c>
    </row>
    <row r="56" customFormat="false" ht="15.25" hidden="false" customHeight="false" outlineLevel="0" collapsed="false">
      <c r="B56" s="10" t="s">
        <v>14</v>
      </c>
      <c r="C56" s="6" t="s">
        <v>66</v>
      </c>
      <c r="D56" s="35" t="n">
        <v>0.002</v>
      </c>
      <c r="E56" s="78" t="n">
        <f aca="false">$E$32*D56</f>
        <v>5.07669476363636</v>
      </c>
    </row>
    <row r="57" customFormat="false" ht="15.25" hidden="false" customHeight="false" outlineLevel="0" collapsed="false">
      <c r="B57" s="10" t="s">
        <v>37</v>
      </c>
      <c r="C57" s="6" t="s">
        <v>67</v>
      </c>
      <c r="D57" s="35" t="n">
        <v>0.025</v>
      </c>
      <c r="E57" s="78" t="n">
        <f aca="false">$E$32*D57</f>
        <v>63.4586845454546</v>
      </c>
    </row>
    <row r="58" customFormat="false" ht="15.25" hidden="false" customHeight="false" outlineLevel="0" collapsed="false">
      <c r="B58" s="10" t="s">
        <v>39</v>
      </c>
      <c r="C58" s="6" t="s">
        <v>68</v>
      </c>
      <c r="D58" s="35" t="n">
        <v>0.08</v>
      </c>
      <c r="E58" s="78" t="n">
        <f aca="false">$E$32*D58</f>
        <v>203.067790545455</v>
      </c>
    </row>
    <row r="59" customFormat="false" ht="15.25" hidden="false" customHeight="false" outlineLevel="0" collapsed="false">
      <c r="B59" s="10" t="s">
        <v>69</v>
      </c>
      <c r="C59" s="6" t="s">
        <v>70</v>
      </c>
      <c r="D59" s="35" t="n">
        <v>0.03</v>
      </c>
      <c r="E59" s="78" t="n">
        <f aca="false">$E$32*D59</f>
        <v>76.1504214545455</v>
      </c>
    </row>
    <row r="60" customFormat="false" ht="15.25" hidden="false" customHeight="false" outlineLevel="0" collapsed="false">
      <c r="B60" s="10" t="s">
        <v>71</v>
      </c>
      <c r="C60" s="6" t="s">
        <v>72</v>
      </c>
      <c r="D60" s="35" t="n">
        <v>0.006</v>
      </c>
      <c r="E60" s="78" t="n">
        <f aca="false">$E$32*D60</f>
        <v>15.2300842909091</v>
      </c>
    </row>
    <row r="61" customFormat="false" ht="15.25" hidden="false" customHeight="false" outlineLevel="0" collapsed="false">
      <c r="B61" s="20" t="s">
        <v>73</v>
      </c>
      <c r="C61" s="20"/>
      <c r="D61" s="38" t="n">
        <v>0.368</v>
      </c>
      <c r="E61" s="79" t="n">
        <f aca="false">$E$32*D61</f>
        <v>934.111836509091</v>
      </c>
    </row>
    <row r="62" customFormat="false" ht="17.65" hidden="false" customHeight="true" outlineLevel="0" collapsed="false">
      <c r="B62" s="34" t="s">
        <v>74</v>
      </c>
      <c r="C62" s="34"/>
      <c r="D62" s="34"/>
      <c r="E62" s="34"/>
    </row>
    <row r="63" customFormat="false" ht="15.65" hidden="false" customHeight="false" outlineLevel="0" collapsed="false">
      <c r="B63" s="2" t="s">
        <v>75</v>
      </c>
      <c r="C63" s="34" t="s">
        <v>76</v>
      </c>
      <c r="D63" s="10" t="s">
        <v>31</v>
      </c>
      <c r="E63" s="2" t="s">
        <v>32</v>
      </c>
    </row>
    <row r="64" customFormat="false" ht="15.25" hidden="false" customHeight="false" outlineLevel="0" collapsed="false">
      <c r="B64" s="10" t="s">
        <v>6</v>
      </c>
      <c r="C64" s="6" t="s">
        <v>77</v>
      </c>
      <c r="D64" s="41" t="n">
        <v>0.0833</v>
      </c>
      <c r="E64" s="24" t="n">
        <f aca="false">$E$32*D64</f>
        <v>211.444336905455</v>
      </c>
    </row>
    <row r="65" customFormat="false" ht="15.25" hidden="false" customHeight="false" outlineLevel="0" collapsed="false">
      <c r="B65" s="10" t="s">
        <v>8</v>
      </c>
      <c r="C65" s="7" t="s">
        <v>78</v>
      </c>
      <c r="D65" s="41" t="n">
        <f aca="false">D64*D61</f>
        <v>0.0306544</v>
      </c>
      <c r="E65" s="24" t="n">
        <f aca="false">$E$32*D65</f>
        <v>77.8115159812073</v>
      </c>
    </row>
    <row r="66" customFormat="false" ht="15.25" hidden="false" customHeight="false" outlineLevel="0" collapsed="false">
      <c r="B66" s="20" t="s">
        <v>73</v>
      </c>
      <c r="C66" s="20"/>
      <c r="D66" s="41" t="n">
        <v>0.1139544</v>
      </c>
      <c r="E66" s="21" t="n">
        <f aca="false">$E$32*D66</f>
        <v>289.255852886662</v>
      </c>
    </row>
    <row r="67" customFormat="false" ht="15.25" hidden="false" customHeight="false" outlineLevel="0" collapsed="false">
      <c r="B67" s="34" t="s">
        <v>79</v>
      </c>
      <c r="C67" s="34"/>
      <c r="D67" s="34"/>
      <c r="E67" s="34"/>
    </row>
    <row r="68" customFormat="false" ht="15.25" hidden="false" customHeight="false" outlineLevel="0" collapsed="false">
      <c r="B68" s="2" t="s">
        <v>80</v>
      </c>
      <c r="C68" s="2" t="s">
        <v>81</v>
      </c>
      <c r="D68" s="10" t="s">
        <v>31</v>
      </c>
      <c r="E68" s="2" t="s">
        <v>32</v>
      </c>
    </row>
    <row r="69" customFormat="false" ht="15.25" hidden="false" customHeight="false" outlineLevel="0" collapsed="false">
      <c r="B69" s="10" t="s">
        <v>6</v>
      </c>
      <c r="C69" s="6" t="s">
        <v>81</v>
      </c>
      <c r="D69" s="44" t="n">
        <v>0.00074</v>
      </c>
      <c r="E69" s="24" t="n">
        <f aca="false">$E$32*D69</f>
        <v>1.87837706254545</v>
      </c>
    </row>
    <row r="70" customFormat="false" ht="15.25" hidden="false" customHeight="false" outlineLevel="0" collapsed="false">
      <c r="B70" s="10" t="s">
        <v>8</v>
      </c>
      <c r="C70" s="7" t="s">
        <v>82</v>
      </c>
      <c r="D70" s="44" t="n">
        <f aca="false">D69*D61</f>
        <v>0.00027232</v>
      </c>
      <c r="E70" s="24" t="n">
        <f aca="false">$E$32*D70</f>
        <v>0.691242759016727</v>
      </c>
    </row>
    <row r="71" customFormat="false" ht="15.25" hidden="false" customHeight="false" outlineLevel="0" collapsed="false">
      <c r="B71" s="20" t="s">
        <v>73</v>
      </c>
      <c r="C71" s="20"/>
      <c r="D71" s="46" t="n">
        <v>0.00104</v>
      </c>
      <c r="E71" s="21" t="n">
        <f aca="false">$E$32*D71</f>
        <v>2.63988127709091</v>
      </c>
    </row>
    <row r="72" customFormat="false" ht="15.25" hidden="false" customHeight="false" outlineLevel="0" collapsed="false">
      <c r="B72" s="34" t="s">
        <v>83</v>
      </c>
      <c r="C72" s="34"/>
      <c r="D72" s="34"/>
      <c r="E72" s="34"/>
    </row>
    <row r="73" customFormat="false" ht="15.25" hidden="false" customHeight="false" outlineLevel="0" collapsed="false">
      <c r="B73" s="2" t="s">
        <v>84</v>
      </c>
      <c r="C73" s="2" t="s">
        <v>85</v>
      </c>
      <c r="D73" s="10" t="s">
        <v>31</v>
      </c>
      <c r="E73" s="2" t="s">
        <v>32</v>
      </c>
    </row>
    <row r="74" customFormat="false" ht="15.25" hidden="false" customHeight="false" outlineLevel="0" collapsed="false">
      <c r="B74" s="10" t="s">
        <v>6</v>
      </c>
      <c r="C74" s="6" t="s">
        <v>86</v>
      </c>
      <c r="D74" s="41" t="n">
        <v>0.00416666666666667</v>
      </c>
      <c r="E74" s="24" t="n">
        <f aca="false">$E$32*D74</f>
        <v>10.5764474242424</v>
      </c>
    </row>
    <row r="75" customFormat="false" ht="15.25" hidden="false" customHeight="false" outlineLevel="0" collapsed="false">
      <c r="B75" s="10" t="s">
        <v>8</v>
      </c>
      <c r="C75" s="7" t="s">
        <v>87</v>
      </c>
      <c r="D75" s="41" t="n">
        <v>0.000333333333333333</v>
      </c>
      <c r="E75" s="24" t="n">
        <f aca="false">$E$32*D75</f>
        <v>0.846115793939393</v>
      </c>
    </row>
    <row r="76" customFormat="false" ht="15.25" hidden="false" customHeight="false" outlineLevel="0" collapsed="false">
      <c r="B76" s="10" t="s">
        <v>11</v>
      </c>
      <c r="C76" s="6" t="s">
        <v>88</v>
      </c>
      <c r="D76" s="41" t="n">
        <v>0.043</v>
      </c>
      <c r="E76" s="24" t="n">
        <f aca="false">$E$32*D76</f>
        <v>109.148937418182</v>
      </c>
    </row>
    <row r="77" customFormat="false" ht="15.25" hidden="false" customHeight="false" outlineLevel="0" collapsed="false">
      <c r="B77" s="10" t="s">
        <v>14</v>
      </c>
      <c r="C77" s="6" t="s">
        <v>89</v>
      </c>
      <c r="D77" s="47" t="n">
        <v>0.0194444444444444</v>
      </c>
      <c r="E77" s="24" t="n">
        <f aca="false">$E$32*D77</f>
        <v>49.3567546464645</v>
      </c>
    </row>
    <row r="78" customFormat="false" ht="15.25" hidden="false" customHeight="false" outlineLevel="0" collapsed="false">
      <c r="B78" s="10" t="s">
        <v>37</v>
      </c>
      <c r="C78" s="7" t="s">
        <v>90</v>
      </c>
      <c r="D78" s="41" t="n">
        <v>0.00715555555555556</v>
      </c>
      <c r="E78" s="24" t="n">
        <f aca="false">$E$32*D78</f>
        <v>18.163285709899</v>
      </c>
    </row>
    <row r="79" customFormat="false" ht="15.25" hidden="false" customHeight="false" outlineLevel="0" collapsed="false">
      <c r="B79" s="10" t="s">
        <v>39</v>
      </c>
      <c r="C79" s="6" t="s">
        <v>91</v>
      </c>
      <c r="D79" s="41" t="n">
        <v>0.000776</v>
      </c>
      <c r="E79" s="24" t="n">
        <f aca="false">$E$32*D79</f>
        <v>1.96975756829091</v>
      </c>
    </row>
    <row r="80" customFormat="false" ht="18.6" hidden="false" customHeight="true" outlineLevel="0" collapsed="false">
      <c r="B80" s="20" t="s">
        <v>73</v>
      </c>
      <c r="C80" s="20"/>
      <c r="D80" s="41" t="n">
        <v>0.074876</v>
      </c>
      <c r="E80" s="21" t="n">
        <f aca="false">$E$32*D80</f>
        <v>190.061298561018</v>
      </c>
    </row>
    <row r="81" customFormat="false" ht="18.6" hidden="false" customHeight="true" outlineLevel="0" collapsed="false">
      <c r="B81" s="34" t="s">
        <v>92</v>
      </c>
      <c r="C81" s="34"/>
      <c r="D81" s="34"/>
      <c r="E81" s="34"/>
    </row>
    <row r="82" customFormat="false" ht="15.25" hidden="false" customHeight="false" outlineLevel="0" collapsed="false">
      <c r="B82" s="2" t="s">
        <v>93</v>
      </c>
      <c r="C82" s="14" t="s">
        <v>94</v>
      </c>
      <c r="D82" s="48" t="s">
        <v>31</v>
      </c>
      <c r="E82" s="2" t="s">
        <v>32</v>
      </c>
    </row>
    <row r="83" customFormat="false" ht="15.25" hidden="false" customHeight="false" outlineLevel="0" collapsed="false">
      <c r="B83" s="10" t="s">
        <v>6</v>
      </c>
      <c r="C83" s="6" t="s">
        <v>95</v>
      </c>
      <c r="D83" s="49" t="n">
        <v>0.1111</v>
      </c>
      <c r="E83" s="24" t="n">
        <f aca="false">$E$32*D83</f>
        <v>282.01039412</v>
      </c>
    </row>
    <row r="84" customFormat="false" ht="15.25" hidden="false" customHeight="false" outlineLevel="0" collapsed="false">
      <c r="B84" s="10" t="s">
        <v>8</v>
      </c>
      <c r="C84" s="6" t="s">
        <v>96</v>
      </c>
      <c r="D84" s="49" t="n">
        <v>0.0166</v>
      </c>
      <c r="E84" s="24" t="n">
        <f aca="false">$E$32*D84</f>
        <v>42.1365665381818</v>
      </c>
    </row>
    <row r="85" customFormat="false" ht="15.25" hidden="false" customHeight="false" outlineLevel="0" collapsed="false">
      <c r="B85" s="10" t="s">
        <v>11</v>
      </c>
      <c r="C85" s="6" t="s">
        <v>97</v>
      </c>
      <c r="D85" s="49" t="n">
        <v>0.0002</v>
      </c>
      <c r="E85" s="24" t="n">
        <f aca="false">$E$32*D85</f>
        <v>0.507669476363636</v>
      </c>
    </row>
    <row r="86" customFormat="false" ht="15.25" hidden="false" customHeight="false" outlineLevel="0" collapsed="false">
      <c r="B86" s="10" t="s">
        <v>14</v>
      </c>
      <c r="C86" s="6" t="s">
        <v>98</v>
      </c>
      <c r="D86" s="49" t="n">
        <v>0.0028</v>
      </c>
      <c r="E86" s="24" t="n">
        <f aca="false">$E$32*D86</f>
        <v>7.10737266909091</v>
      </c>
    </row>
    <row r="87" customFormat="false" ht="17.85" hidden="false" customHeight="true" outlineLevel="0" collapsed="false">
      <c r="B87" s="10" t="s">
        <v>37</v>
      </c>
      <c r="C87" s="6" t="s">
        <v>99</v>
      </c>
      <c r="D87" s="49" t="n">
        <v>0.0003</v>
      </c>
      <c r="E87" s="24" t="n">
        <f aca="false">$E$32*D87</f>
        <v>0.761504214545455</v>
      </c>
    </row>
    <row r="88" customFormat="false" ht="15.25" hidden="false" customHeight="false" outlineLevel="0" collapsed="false">
      <c r="B88" s="10" t="s">
        <v>39</v>
      </c>
      <c r="C88" s="6" t="s">
        <v>100</v>
      </c>
      <c r="D88" s="49"/>
      <c r="E88" s="24" t="n">
        <v>0</v>
      </c>
    </row>
    <row r="89" customFormat="false" ht="15.25" hidden="false" customHeight="false" outlineLevel="0" collapsed="false">
      <c r="B89" s="34" t="s">
        <v>101</v>
      </c>
      <c r="C89" s="34"/>
      <c r="D89" s="53" t="n">
        <v>0.131</v>
      </c>
      <c r="E89" s="21" t="n">
        <f aca="false">$E$32*D89</f>
        <v>332.523507018182</v>
      </c>
    </row>
    <row r="90" customFormat="false" ht="30.75" hidden="false" customHeight="true" outlineLevel="0" collapsed="false">
      <c r="B90" s="10" t="s">
        <v>69</v>
      </c>
      <c r="C90" s="54" t="s">
        <v>102</v>
      </c>
      <c r="D90" s="49" t="n">
        <v>0.048208</v>
      </c>
      <c r="E90" s="24" t="n">
        <f aca="false">$E$32*D90</f>
        <v>122.368650582691</v>
      </c>
    </row>
    <row r="91" customFormat="false" ht="15.25" hidden="false" customHeight="false" outlineLevel="0" collapsed="false">
      <c r="B91" s="20" t="s">
        <v>73</v>
      </c>
      <c r="C91" s="20"/>
      <c r="D91" s="53" t="n">
        <v>0.179208</v>
      </c>
      <c r="E91" s="21" t="n">
        <f aca="false">$E$32*D91</f>
        <v>454.892157600873</v>
      </c>
    </row>
    <row r="92" customFormat="false" ht="17.25" hidden="false" customHeight="true" outlineLevel="0" collapsed="false">
      <c r="B92" s="14" t="s">
        <v>103</v>
      </c>
      <c r="C92" s="14"/>
      <c r="D92" s="14"/>
      <c r="E92" s="14"/>
    </row>
    <row r="93" customFormat="false" ht="15.25" hidden="false" customHeight="false" outlineLevel="0" collapsed="false">
      <c r="B93" s="2" t="n">
        <v>4</v>
      </c>
      <c r="C93" s="2" t="s">
        <v>104</v>
      </c>
      <c r="D93" s="10" t="s">
        <v>31</v>
      </c>
      <c r="E93" s="2" t="s">
        <v>32</v>
      </c>
    </row>
    <row r="94" customFormat="false" ht="15.65" hidden="false" customHeight="false" outlineLevel="0" collapsed="false">
      <c r="B94" s="10" t="s">
        <v>105</v>
      </c>
      <c r="C94" s="6" t="s">
        <v>106</v>
      </c>
      <c r="D94" s="56" t="n">
        <v>0.368</v>
      </c>
      <c r="E94" s="24" t="n">
        <f aca="false">$E$32*D94</f>
        <v>934.111836509091</v>
      </c>
    </row>
    <row r="95" customFormat="false" ht="15.65" hidden="false" customHeight="false" outlineLevel="0" collapsed="false">
      <c r="B95" s="10" t="s">
        <v>107</v>
      </c>
      <c r="C95" s="6" t="s">
        <v>108</v>
      </c>
      <c r="D95" s="56" t="n">
        <v>0.1139544</v>
      </c>
      <c r="E95" s="24" t="n">
        <f aca="false">$E$32*D95</f>
        <v>289.255852886662</v>
      </c>
    </row>
    <row r="96" customFormat="false" ht="15.65" hidden="false" customHeight="false" outlineLevel="0" collapsed="false">
      <c r="B96" s="10" t="s">
        <v>109</v>
      </c>
      <c r="C96" s="6" t="s">
        <v>110</v>
      </c>
      <c r="D96" s="56" t="n">
        <v>0.00104</v>
      </c>
      <c r="E96" s="24" t="n">
        <f aca="false">$E$32*D96</f>
        <v>2.63988127709091</v>
      </c>
    </row>
    <row r="97" customFormat="false" ht="15.65" hidden="false" customHeight="false" outlineLevel="0" collapsed="false">
      <c r="B97" s="10" t="s">
        <v>111</v>
      </c>
      <c r="C97" s="6" t="s">
        <v>112</v>
      </c>
      <c r="D97" s="56" t="n">
        <v>0.074876</v>
      </c>
      <c r="E97" s="24" t="n">
        <f aca="false">$E$32*D97</f>
        <v>190.061298561018</v>
      </c>
    </row>
    <row r="98" customFormat="false" ht="15.65" hidden="false" customHeight="false" outlineLevel="0" collapsed="false">
      <c r="B98" s="10" t="s">
        <v>113</v>
      </c>
      <c r="C98" s="6" t="s">
        <v>114</v>
      </c>
      <c r="D98" s="56" t="n">
        <v>0.179208</v>
      </c>
      <c r="E98" s="24" t="n">
        <f aca="false">$E$32*D98</f>
        <v>454.892157600873</v>
      </c>
    </row>
    <row r="99" customFormat="false" ht="15.65" hidden="false" customHeight="false" outlineLevel="0" collapsed="false">
      <c r="B99" s="10" t="s">
        <v>115</v>
      </c>
      <c r="C99" s="6" t="s">
        <v>100</v>
      </c>
      <c r="D99" s="56"/>
      <c r="E99" s="24"/>
    </row>
    <row r="100" customFormat="false" ht="15.25" hidden="false" customHeight="false" outlineLevel="0" collapsed="false">
      <c r="B100" s="20" t="s">
        <v>73</v>
      </c>
      <c r="C100" s="20"/>
      <c r="D100" s="57" t="n">
        <v>0.7370784</v>
      </c>
      <c r="E100" s="21" t="n">
        <f aca="false">$E$32*D100</f>
        <v>1870.96102683473</v>
      </c>
    </row>
    <row r="101" customFormat="false" ht="15.65" hidden="false" customHeight="false" outlineLevel="0" collapsed="false">
      <c r="B101" s="2" t="s">
        <v>116</v>
      </c>
      <c r="C101" s="2"/>
      <c r="D101" s="2"/>
      <c r="E101" s="2"/>
    </row>
    <row r="102" customFormat="false" ht="15.25" hidden="false" customHeight="false" outlineLevel="0" collapsed="false">
      <c r="B102" s="2" t="n">
        <v>5</v>
      </c>
      <c r="C102" s="2" t="s">
        <v>117</v>
      </c>
      <c r="D102" s="10" t="s">
        <v>31</v>
      </c>
      <c r="E102" s="2" t="s">
        <v>32</v>
      </c>
    </row>
    <row r="103" customFormat="false" ht="15.25" hidden="false" customHeight="false" outlineLevel="0" collapsed="false">
      <c r="B103" s="10" t="s">
        <v>6</v>
      </c>
      <c r="C103" s="59" t="s">
        <v>118</v>
      </c>
      <c r="D103" s="38" t="n">
        <v>0.06</v>
      </c>
      <c r="E103" s="33" t="n">
        <f aca="false">E122*D103</f>
        <v>319.670697851116</v>
      </c>
    </row>
    <row r="104" customFormat="false" ht="15.25" hidden="false" customHeight="false" outlineLevel="0" collapsed="false">
      <c r="B104" s="10" t="s">
        <v>8</v>
      </c>
      <c r="C104" s="59" t="s">
        <v>119</v>
      </c>
      <c r="D104" s="38" t="n">
        <v>0.0679</v>
      </c>
      <c r="E104" s="33" t="n">
        <f aca="false">(E122+E103)*D104</f>
        <v>383.46631345227</v>
      </c>
    </row>
    <row r="105" customFormat="false" ht="15.25" hidden="false" customHeight="false" outlineLevel="0" collapsed="false">
      <c r="B105" s="10" t="s">
        <v>11</v>
      </c>
      <c r="C105" s="59" t="s">
        <v>120</v>
      </c>
      <c r="D105" s="6"/>
      <c r="E105" s="6"/>
    </row>
    <row r="106" customFormat="false" ht="15.65" hidden="false" customHeight="false" outlineLevel="0" collapsed="false">
      <c r="B106" s="60" t="s">
        <v>121</v>
      </c>
      <c r="C106" s="6" t="s">
        <v>122</v>
      </c>
      <c r="D106" s="61" t="n">
        <v>3</v>
      </c>
      <c r="E106" s="62" t="n">
        <f aca="false">E124*D106/100</f>
        <v>198.061805434767</v>
      </c>
    </row>
    <row r="107" customFormat="false" ht="15.65" hidden="false" customHeight="false" outlineLevel="0" collapsed="false">
      <c r="B107" s="60"/>
      <c r="C107" s="6" t="s">
        <v>123</v>
      </c>
      <c r="D107" s="61" t="n">
        <v>0.65</v>
      </c>
      <c r="E107" s="62" t="n">
        <f aca="false">E124*D107/100</f>
        <v>42.9133911775328</v>
      </c>
    </row>
    <row r="108" customFormat="false" ht="17.1" hidden="false" customHeight="true" outlineLevel="0" collapsed="false">
      <c r="B108" s="60" t="s">
        <v>124</v>
      </c>
      <c r="C108" s="6" t="s">
        <v>125</v>
      </c>
      <c r="D108" s="61"/>
      <c r="E108" s="62"/>
    </row>
    <row r="109" customFormat="false" ht="22.95" hidden="false" customHeight="true" outlineLevel="0" collapsed="false">
      <c r="B109" s="60" t="s">
        <v>126</v>
      </c>
      <c r="C109" s="6" t="s">
        <v>127</v>
      </c>
      <c r="D109" s="61" t="n">
        <v>5</v>
      </c>
      <c r="E109" s="62" t="n">
        <f aca="false">E124*D109/100</f>
        <v>330.103009057944</v>
      </c>
    </row>
    <row r="110" customFormat="false" ht="15.25" hidden="false" customHeight="false" outlineLevel="0" collapsed="false">
      <c r="B110" s="60" t="s">
        <v>128</v>
      </c>
      <c r="C110" s="6" t="s">
        <v>129</v>
      </c>
      <c r="D110" s="38"/>
      <c r="E110" s="62"/>
    </row>
    <row r="111" customFormat="false" ht="17.1" hidden="false" customHeight="true" outlineLevel="0" collapsed="false"/>
    <row r="112" customFormat="false" ht="30.75" hidden="false" customHeight="true" outlineLevel="0" collapsed="false">
      <c r="B112" s="20" t="s">
        <v>130</v>
      </c>
      <c r="C112" s="20"/>
      <c r="D112" s="2" t="n">
        <v>11.25</v>
      </c>
      <c r="E112" s="33" t="n">
        <f aca="false">SUM(E103:E109)</f>
        <v>1274.21521697363</v>
      </c>
    </row>
    <row r="113" customFormat="false" ht="17.25" hidden="false" customHeight="true" outlineLevel="0" collapsed="false">
      <c r="B113" s="65" t="s">
        <v>131</v>
      </c>
      <c r="C113" s="65"/>
      <c r="D113" s="66" t="n">
        <f aca="false">(1-(D106+D107+D109)/100)</f>
        <v>0.9135</v>
      </c>
      <c r="E113" s="67"/>
    </row>
    <row r="114" customFormat="false" ht="15.25" hidden="false" customHeight="false" outlineLevel="0" collapsed="false">
      <c r="B114" s="65"/>
      <c r="C114" s="65"/>
      <c r="D114" s="68" t="n">
        <f aca="false">(E122+E103+E104)/D113</f>
        <v>6602.06018115889</v>
      </c>
      <c r="E114" s="69"/>
    </row>
    <row r="115" customFormat="false" ht="16.5" hidden="false" customHeight="true" outlineLevel="0" collapsed="false">
      <c r="B115" s="4" t="s">
        <v>132</v>
      </c>
      <c r="C115" s="4"/>
      <c r="D115" s="33"/>
      <c r="E115" s="71"/>
    </row>
    <row r="116" customFormat="false" ht="17.25" hidden="false" customHeight="true" outlineLevel="0" collapsed="false">
      <c r="B116" s="2" t="s">
        <v>133</v>
      </c>
      <c r="C116" s="2"/>
      <c r="D116" s="2"/>
      <c r="E116" s="2"/>
    </row>
    <row r="117" customFormat="false" ht="17.25" hidden="false" customHeight="true" outlineLevel="0" collapsed="false">
      <c r="B117" s="2"/>
      <c r="C117" s="14" t="s">
        <v>134</v>
      </c>
      <c r="D117" s="14"/>
      <c r="E117" s="2" t="s">
        <v>32</v>
      </c>
    </row>
    <row r="118" customFormat="false" ht="15.65" hidden="false" customHeight="false" outlineLevel="0" collapsed="false">
      <c r="B118" s="10" t="s">
        <v>6</v>
      </c>
      <c r="C118" s="34" t="s">
        <v>135</v>
      </c>
      <c r="D118" s="34"/>
      <c r="E118" s="71" t="n">
        <f aca="false">E32</f>
        <v>2538.34738181818</v>
      </c>
    </row>
    <row r="119" customFormat="false" ht="17.25" hidden="false" customHeight="true" outlineLevel="0" collapsed="false">
      <c r="B119" s="10" t="s">
        <v>8</v>
      </c>
      <c r="C119" s="34" t="s">
        <v>136</v>
      </c>
      <c r="D119" s="34"/>
      <c r="E119" s="23" t="n">
        <f aca="false">E41</f>
        <v>599.625952380953</v>
      </c>
    </row>
    <row r="120" customFormat="false" ht="15.65" hidden="false" customHeight="false" outlineLevel="0" collapsed="false">
      <c r="B120" s="10" t="s">
        <v>11</v>
      </c>
      <c r="C120" s="34" t="s">
        <v>137</v>
      </c>
      <c r="D120" s="34"/>
      <c r="E120" s="71" t="n">
        <f aca="false">E49</f>
        <v>318.910603151397</v>
      </c>
    </row>
    <row r="121" customFormat="false" ht="15.65" hidden="false" customHeight="false" outlineLevel="0" collapsed="false">
      <c r="B121" s="10" t="s">
        <v>14</v>
      </c>
      <c r="C121" s="34" t="s">
        <v>138</v>
      </c>
      <c r="D121" s="34"/>
      <c r="E121" s="23" t="n">
        <f aca="false">E100</f>
        <v>1870.96102683473</v>
      </c>
    </row>
    <row r="122" customFormat="false" ht="15.25" hidden="false" customHeight="false" outlineLevel="0" collapsed="false">
      <c r="B122" s="20" t="s">
        <v>139</v>
      </c>
      <c r="C122" s="20"/>
      <c r="D122" s="20"/>
      <c r="E122" s="72" t="n">
        <f aca="false">SUM(E118:E121)</f>
        <v>5327.84496418526</v>
      </c>
    </row>
    <row r="123" customFormat="false" ht="15.25" hidden="false" customHeight="false" outlineLevel="0" collapsed="false">
      <c r="B123" s="10" t="s">
        <v>37</v>
      </c>
      <c r="C123" s="2" t="s">
        <v>140</v>
      </c>
      <c r="D123" s="2"/>
      <c r="E123" s="23" t="n">
        <f aca="false">E112</f>
        <v>1274.21521697363</v>
      </c>
    </row>
    <row r="124" customFormat="false" ht="15.65" hidden="false" customHeight="false" outlineLevel="0" collapsed="false">
      <c r="B124" s="2" t="s">
        <v>141</v>
      </c>
      <c r="C124" s="2"/>
      <c r="D124" s="2"/>
      <c r="E124" s="73" t="n">
        <f aca="false">(E122+E103+E104)/(1-(D106+D107+D109)/100)</f>
        <v>6602.06018115889</v>
      </c>
    </row>
    <row r="125" customFormat="false" ht="15.65" hidden="false" customHeight="false" outlineLevel="0" collapsed="false">
      <c r="B125" s="2" t="s">
        <v>155</v>
      </c>
      <c r="C125" s="2"/>
      <c r="D125" s="2"/>
      <c r="E125" s="73" t="n">
        <f aca="false">E124*2</f>
        <v>13204.1203623178</v>
      </c>
    </row>
  </sheetData>
  <mergeCells count="58">
    <mergeCell ref="B3:E5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B24:E24"/>
    <mergeCell ref="B32:D32"/>
    <mergeCell ref="B33:E33"/>
    <mergeCell ref="B41:D41"/>
    <mergeCell ref="B42:E42"/>
    <mergeCell ref="B49:D49"/>
    <mergeCell ref="B50:E50"/>
    <mergeCell ref="B51:E51"/>
    <mergeCell ref="B61:C61"/>
    <mergeCell ref="B62:E62"/>
    <mergeCell ref="B66:C66"/>
    <mergeCell ref="B67:E67"/>
    <mergeCell ref="B71:C71"/>
    <mergeCell ref="B72:E72"/>
    <mergeCell ref="B80:C80"/>
    <mergeCell ref="B81:E81"/>
    <mergeCell ref="B89:C89"/>
    <mergeCell ref="B91:C91"/>
    <mergeCell ref="B92:E92"/>
    <mergeCell ref="B100:C100"/>
    <mergeCell ref="B101:E101"/>
    <mergeCell ref="B106:B107"/>
    <mergeCell ref="B112:C112"/>
    <mergeCell ref="B113:C114"/>
    <mergeCell ref="B115:C115"/>
    <mergeCell ref="B116:E116"/>
    <mergeCell ref="C117:D117"/>
    <mergeCell ref="C118:D118"/>
    <mergeCell ref="C119:D119"/>
    <mergeCell ref="C120:D120"/>
    <mergeCell ref="C121:D121"/>
    <mergeCell ref="B122:D122"/>
    <mergeCell ref="C123:D123"/>
    <mergeCell ref="B124:D124"/>
    <mergeCell ref="B125:D125"/>
  </mergeCells>
  <printOptions headings="false" gridLines="false" gridLinesSet="true" horizontalCentered="false" verticalCentered="false"/>
  <pageMargins left="0" right="0" top="0.138888888888889" bottom="0.138888888888889" header="0" footer="0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&amp;C&amp;10&amp;A</oddHeader>
    <oddFooter>&amp;C&amp;10Página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F65536"/>
  <sheetViews>
    <sheetView windowProtection="false" showFormulas="false" showGridLines="true" showRowColHeaders="true" showZeros="true" rightToLeft="false" tabSelected="false" showOutlineSymbols="true" defaultGridColor="true" view="normal" topLeftCell="A19" colorId="64" zoomScale="75" zoomScaleNormal="75" zoomScalePageLayoutView="100" workbookViewId="0">
      <selection pane="topLeft" activeCell="J49" activeCellId="0" sqref="J49"/>
    </sheetView>
  </sheetViews>
  <sheetFormatPr defaultRowHeight="16.05"/>
  <cols>
    <col collapsed="false" hidden="false" max="1" min="1" style="0" width="7.18604651162791"/>
    <col collapsed="false" hidden="false" max="2" min="2" style="0" width="5.11162790697674"/>
    <col collapsed="false" hidden="false" max="3" min="3" style="0" width="54.0418604651163"/>
    <col collapsed="false" hidden="false" max="4" min="4" style="0" width="14.5116279069767"/>
    <col collapsed="false" hidden="false" max="5" min="5" style="0" width="14.8325581395349"/>
    <col collapsed="false" hidden="false" max="6" min="6" style="0" width="14.5116279069767"/>
    <col collapsed="false" hidden="false" max="1025" min="7" style="0" width="10.5023255813953"/>
  </cols>
  <sheetData>
    <row r="1" customFormat="false" ht="14.05" hidden="false" customHeight="false" outlineLevel="0" collapsed="false"/>
    <row r="3" customFormat="false" ht="17.25" hidden="false" customHeight="false" outlineLevel="0" collapsed="false">
      <c r="B3" s="2" t="s">
        <v>0</v>
      </c>
      <c r="C3" s="2"/>
      <c r="D3" s="2"/>
      <c r="E3" s="2"/>
      <c r="F3" s="45"/>
    </row>
    <row r="4" customFormat="false" ht="17.25" hidden="false" customHeight="false" outlineLevel="0" collapsed="false">
      <c r="B4" s="2"/>
      <c r="C4" s="2"/>
      <c r="D4" s="2"/>
      <c r="E4" s="2"/>
      <c r="F4" s="45"/>
    </row>
    <row r="5" customFormat="false" ht="17.25" hidden="false" customHeight="false" outlineLevel="0" collapsed="false">
      <c r="B5" s="2"/>
      <c r="C5" s="2"/>
      <c r="D5" s="2"/>
      <c r="E5" s="2"/>
      <c r="F5" s="80"/>
    </row>
    <row r="6" customFormat="false" ht="17.25" hidden="false" customHeight="false" outlineLevel="0" collapsed="false">
      <c r="B6" s="4" t="s">
        <v>1</v>
      </c>
      <c r="C6" s="4"/>
      <c r="D6" s="5"/>
      <c r="E6" s="5"/>
      <c r="F6" s="45"/>
    </row>
    <row r="7" customFormat="false" ht="17.25" hidden="false" customHeight="false" outlineLevel="0" collapsed="false">
      <c r="B7" s="4" t="s">
        <v>2</v>
      </c>
      <c r="C7" s="4"/>
      <c r="D7" s="5"/>
      <c r="E7" s="5"/>
      <c r="F7" s="45"/>
    </row>
    <row r="8" customFormat="false" ht="17.25" hidden="false" customHeight="false" outlineLevel="0" collapsed="false">
      <c r="B8" s="4" t="s">
        <v>3</v>
      </c>
      <c r="C8" s="4"/>
      <c r="D8" s="5"/>
      <c r="E8" s="5"/>
      <c r="F8" s="45"/>
    </row>
    <row r="9" customFormat="false" ht="17.25" hidden="false" customHeight="false" outlineLevel="0" collapsed="false">
      <c r="B9" s="4" t="s">
        <v>4</v>
      </c>
      <c r="C9" s="4"/>
      <c r="D9" s="5"/>
      <c r="E9" s="5"/>
      <c r="F9" s="45"/>
    </row>
    <row r="10" customFormat="false" ht="17.25" hidden="false" customHeight="false" outlineLevel="0" collapsed="false">
      <c r="B10" s="2" t="s">
        <v>5</v>
      </c>
      <c r="C10" s="2"/>
      <c r="D10" s="2"/>
      <c r="E10" s="2"/>
      <c r="F10" s="45"/>
    </row>
    <row r="11" customFormat="false" ht="17.25" hidden="false" customHeight="false" outlineLevel="0" collapsed="false">
      <c r="B11" s="6" t="s">
        <v>6</v>
      </c>
      <c r="C11" s="6" t="s">
        <v>7</v>
      </c>
      <c r="D11" s="5"/>
      <c r="E11" s="5"/>
      <c r="F11" s="45"/>
    </row>
    <row r="12" customFormat="false" ht="17.25" hidden="false" customHeight="false" outlineLevel="0" collapsed="false">
      <c r="B12" s="6" t="s">
        <v>8</v>
      </c>
      <c r="C12" s="6" t="s">
        <v>9</v>
      </c>
      <c r="D12" s="2" t="s">
        <v>143</v>
      </c>
      <c r="E12" s="2"/>
      <c r="F12" s="45"/>
    </row>
    <row r="13" customFormat="false" ht="24.85" hidden="false" customHeight="true" outlineLevel="0" collapsed="false">
      <c r="B13" s="6" t="s">
        <v>11</v>
      </c>
      <c r="C13" s="7" t="s">
        <v>12</v>
      </c>
      <c r="D13" s="2" t="s">
        <v>13</v>
      </c>
      <c r="E13" s="2"/>
      <c r="F13" s="45"/>
    </row>
    <row r="14" customFormat="false" ht="17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  <c r="F14" s="45"/>
    </row>
    <row r="15" customFormat="false" ht="17.25" hidden="false" customHeight="false" outlineLevel="0" collapsed="false">
      <c r="B15" s="2" t="s">
        <v>16</v>
      </c>
      <c r="C15" s="2"/>
      <c r="D15" s="2"/>
      <c r="E15" s="2"/>
      <c r="F15" s="45"/>
    </row>
    <row r="16" customFormat="false" ht="70.75" hidden="false" customHeight="true" outlineLevel="0" collapsed="false">
      <c r="B16" s="9" t="s">
        <v>17</v>
      </c>
      <c r="C16" s="9"/>
      <c r="D16" s="9" t="s">
        <v>18</v>
      </c>
      <c r="E16" s="9" t="s">
        <v>19</v>
      </c>
      <c r="F16" s="45"/>
    </row>
    <row r="17" customFormat="false" ht="17.25" hidden="false" customHeight="false" outlineLevel="0" collapsed="false">
      <c r="B17" s="2" t="s">
        <v>20</v>
      </c>
      <c r="C17" s="2"/>
      <c r="D17" s="6" t="s">
        <v>21</v>
      </c>
      <c r="E17" s="2" t="n">
        <v>1</v>
      </c>
      <c r="F17" s="45"/>
    </row>
    <row r="18" customFormat="false" ht="17.25" hidden="false" customHeight="false" outlineLevel="0" collapsed="false">
      <c r="B18" s="2" t="s">
        <v>22</v>
      </c>
      <c r="C18" s="2"/>
      <c r="D18" s="2"/>
      <c r="E18" s="2"/>
      <c r="F18" s="45"/>
    </row>
    <row r="19" customFormat="false" ht="17.25" hidden="false" customHeight="false" outlineLevel="0" collapsed="false">
      <c r="B19" s="2" t="s">
        <v>23</v>
      </c>
      <c r="C19" s="2"/>
      <c r="D19" s="2"/>
      <c r="E19" s="2"/>
      <c r="F19" s="45"/>
    </row>
    <row r="20" customFormat="false" ht="17.25" hidden="false" customHeight="false" outlineLevel="0" collapsed="false">
      <c r="B20" s="10" t="n">
        <v>1</v>
      </c>
      <c r="C20" s="6" t="s">
        <v>24</v>
      </c>
      <c r="D20" s="77" t="s">
        <v>157</v>
      </c>
      <c r="E20" s="77"/>
      <c r="F20" s="45"/>
    </row>
    <row r="21" customFormat="false" ht="17.25" hidden="false" customHeight="false" outlineLevel="0" collapsed="false">
      <c r="B21" s="10" t="n">
        <v>2</v>
      </c>
      <c r="C21" s="6" t="s">
        <v>26</v>
      </c>
      <c r="D21" s="12" t="n">
        <v>1602.86</v>
      </c>
      <c r="E21" s="12"/>
      <c r="F21" s="45"/>
    </row>
    <row r="22" customFormat="false" ht="17.25" hidden="false" customHeight="false" outlineLevel="0" collapsed="false">
      <c r="B22" s="10" t="n">
        <v>3</v>
      </c>
      <c r="C22" s="6" t="s">
        <v>27</v>
      </c>
      <c r="D22" s="77" t="s">
        <v>157</v>
      </c>
      <c r="E22" s="77"/>
      <c r="F22" s="45"/>
    </row>
    <row r="23" customFormat="false" ht="17.25" hidden="false" customHeight="false" outlineLevel="0" collapsed="false">
      <c r="B23" s="10" t="n">
        <v>4</v>
      </c>
      <c r="C23" s="6" t="s">
        <v>28</v>
      </c>
      <c r="D23" s="13" t="n">
        <v>42736</v>
      </c>
      <c r="E23" s="13"/>
      <c r="F23" s="45"/>
    </row>
    <row r="24" customFormat="false" ht="17.25" hidden="false" customHeight="false" outlineLevel="0" collapsed="false">
      <c r="B24" s="2" t="s">
        <v>29</v>
      </c>
      <c r="C24" s="2"/>
      <c r="D24" s="2"/>
      <c r="E24" s="2"/>
      <c r="F24" s="45"/>
    </row>
    <row r="25" customFormat="false" ht="17.25" hidden="false" customHeight="false" outlineLevel="0" collapsed="false">
      <c r="B25" s="2" t="n">
        <v>1</v>
      </c>
      <c r="C25" s="2" t="s">
        <v>30</v>
      </c>
      <c r="D25" s="10" t="s">
        <v>31</v>
      </c>
      <c r="E25" s="14" t="s">
        <v>32</v>
      </c>
      <c r="F25" s="81"/>
    </row>
    <row r="26" customFormat="false" ht="17.25" hidden="false" customHeight="false" outlineLevel="0" collapsed="false">
      <c r="B26" s="10" t="s">
        <v>6</v>
      </c>
      <c r="C26" s="6" t="s">
        <v>33</v>
      </c>
      <c r="D26" s="6"/>
      <c r="E26" s="15" t="n">
        <f aca="false">D21</f>
        <v>1602.86</v>
      </c>
      <c r="F26" s="45"/>
    </row>
    <row r="27" customFormat="false" ht="17.25" hidden="false" customHeight="false" outlineLevel="0" collapsed="false">
      <c r="B27" s="10" t="s">
        <v>8</v>
      </c>
      <c r="C27" s="6" t="s">
        <v>34</v>
      </c>
      <c r="D27" s="17" t="n">
        <v>0.3</v>
      </c>
      <c r="E27" s="15" t="n">
        <f aca="false">E26*0.3</f>
        <v>480.858</v>
      </c>
      <c r="F27" s="45"/>
    </row>
    <row r="28" customFormat="false" ht="15.9" hidden="false" customHeight="false" outlineLevel="0" collapsed="false">
      <c r="B28" s="10" t="s">
        <v>11</v>
      </c>
      <c r="C28" s="6" t="s">
        <v>35</v>
      </c>
      <c r="D28" s="17" t="n">
        <v>0.6</v>
      </c>
      <c r="E28" s="15" t="n">
        <f aca="false">(E26+E27)/220*1.6*15</f>
        <v>227.314690909091</v>
      </c>
      <c r="F28" s="45"/>
    </row>
    <row r="29" customFormat="false" ht="15.9" hidden="false" customHeight="false" outlineLevel="0" collapsed="false">
      <c r="B29" s="10" t="s">
        <v>14</v>
      </c>
      <c r="C29" s="6" t="s">
        <v>36</v>
      </c>
      <c r="D29" s="17" t="n">
        <v>0.4</v>
      </c>
      <c r="E29" s="15" t="n">
        <f aca="false">(E26+E27)/220*0.4*8*15</f>
        <v>454.629381818182</v>
      </c>
      <c r="F29" s="27"/>
    </row>
    <row r="30" customFormat="false" ht="15.9" hidden="false" customHeight="false" outlineLevel="0" collapsed="false">
      <c r="B30" s="10" t="s">
        <v>37</v>
      </c>
      <c r="C30" s="6" t="s">
        <v>38</v>
      </c>
      <c r="D30" s="6" t="n">
        <v>16</v>
      </c>
      <c r="E30" s="15" t="n">
        <f aca="false">(E26+E27)*2/220*8</f>
        <v>151.543127272727</v>
      </c>
      <c r="F30" s="82"/>
    </row>
    <row r="31" customFormat="false" ht="15.25" hidden="false" customHeight="false" outlineLevel="0" collapsed="false">
      <c r="B31" s="10" t="s">
        <v>39</v>
      </c>
      <c r="C31" s="6" t="s">
        <v>40</v>
      </c>
      <c r="D31" s="19"/>
      <c r="E31" s="15" t="n">
        <f aca="false">(E28+E29+E30)*5/25</f>
        <v>166.69744</v>
      </c>
      <c r="F31" s="45"/>
    </row>
    <row r="32" customFormat="false" ht="17.25" hidden="false" customHeight="false" outlineLevel="0" collapsed="false">
      <c r="B32" s="20" t="s">
        <v>41</v>
      </c>
      <c r="C32" s="20"/>
      <c r="D32" s="20"/>
      <c r="E32" s="21" t="n">
        <f aca="false">SUM(E26:E31)</f>
        <v>3083.90264</v>
      </c>
      <c r="F32" s="83"/>
    </row>
    <row r="33" customFormat="false" ht="17.25" hidden="false" customHeight="false" outlineLevel="0" collapsed="false">
      <c r="B33" s="2" t="s">
        <v>42</v>
      </c>
      <c r="C33" s="2"/>
      <c r="D33" s="2"/>
      <c r="E33" s="2"/>
      <c r="F33" s="45"/>
    </row>
    <row r="34" customFormat="false" ht="17.25" hidden="false" customHeight="false" outlineLevel="0" collapsed="false">
      <c r="B34" s="2" t="n">
        <v>2</v>
      </c>
      <c r="C34" s="2" t="s">
        <v>43</v>
      </c>
      <c r="D34" s="10"/>
      <c r="E34" s="2" t="s">
        <v>32</v>
      </c>
      <c r="F34" s="45"/>
    </row>
    <row r="35" customFormat="false" ht="15.25" hidden="false" customHeight="false" outlineLevel="0" collapsed="false">
      <c r="B35" s="10" t="s">
        <v>6</v>
      </c>
      <c r="C35" s="6" t="s">
        <v>44</v>
      </c>
      <c r="D35" s="23"/>
      <c r="E35" s="24" t="n">
        <f aca="false">'Equipamentos Campus JK (Moto)'!H107</f>
        <v>160.714285714286</v>
      </c>
      <c r="F35" s="84" t="s">
        <v>158</v>
      </c>
    </row>
    <row r="36" customFormat="false" ht="17.25" hidden="false" customHeight="false" outlineLevel="0" collapsed="false">
      <c r="B36" s="10" t="s">
        <v>8</v>
      </c>
      <c r="C36" s="6" t="s">
        <v>45</v>
      </c>
      <c r="D36" s="23" t="n">
        <v>15.99</v>
      </c>
      <c r="E36" s="24" t="n">
        <f aca="false">D36*0.9*15</f>
        <v>215.865</v>
      </c>
      <c r="F36" s="85" t="n">
        <v>15</v>
      </c>
    </row>
    <row r="37" customFormat="false" ht="17.25" hidden="false" customHeight="false" outlineLevel="0" collapsed="false">
      <c r="B37" s="10" t="s">
        <v>11</v>
      </c>
      <c r="C37" s="6" t="s">
        <v>46</v>
      </c>
      <c r="D37" s="23"/>
      <c r="E37" s="23" t="n">
        <v>112.9</v>
      </c>
      <c r="F37" s="81"/>
    </row>
    <row r="38" customFormat="false" ht="15.9" hidden="false" customHeight="false" outlineLevel="0" collapsed="false">
      <c r="B38" s="10" t="s">
        <v>14</v>
      </c>
      <c r="C38" s="6" t="s">
        <v>47</v>
      </c>
      <c r="D38" s="6"/>
      <c r="E38" s="23" t="n">
        <v>91.08</v>
      </c>
      <c r="F38" s="81"/>
    </row>
    <row r="39" customFormat="false" ht="17.25" hidden="false" customHeight="false" outlineLevel="0" collapsed="false">
      <c r="B39" s="10" t="s">
        <v>37</v>
      </c>
      <c r="C39" s="6" t="s">
        <v>48</v>
      </c>
      <c r="D39" s="23"/>
      <c r="E39" s="23" t="n">
        <f aca="false">'Média Insumos e benefícios'!E12</f>
        <v>19.0666666666667</v>
      </c>
      <c r="F39" s="81"/>
    </row>
    <row r="40" customFormat="false" ht="17.25" hidden="false" customHeight="false" outlineLevel="0" collapsed="false">
      <c r="B40" s="10" t="s">
        <v>39</v>
      </c>
      <c r="C40" s="6" t="s">
        <v>49</v>
      </c>
      <c r="D40" s="23"/>
      <c r="E40" s="23"/>
      <c r="F40" s="81"/>
    </row>
    <row r="41" customFormat="false" ht="17.25" hidden="false" customHeight="false" outlineLevel="0" collapsed="false">
      <c r="B41" s="20" t="s">
        <v>50</v>
      </c>
      <c r="C41" s="20"/>
      <c r="D41" s="20"/>
      <c r="E41" s="21" t="n">
        <f aca="false">SUM(E35:E40)</f>
        <v>599.625952380952</v>
      </c>
      <c r="F41" s="45"/>
    </row>
    <row r="42" customFormat="false" ht="17.2" hidden="false" customHeight="false" outlineLevel="0" collapsed="false">
      <c r="B42" s="2" t="s">
        <v>51</v>
      </c>
      <c r="C42" s="2"/>
      <c r="D42" s="2"/>
      <c r="E42" s="2"/>
      <c r="F42" s="86"/>
    </row>
    <row r="43" customFormat="false" ht="15.25" hidden="false" customHeight="false" outlineLevel="0" collapsed="false">
      <c r="B43" s="2" t="n">
        <v>3</v>
      </c>
      <c r="C43" s="2" t="s">
        <v>52</v>
      </c>
      <c r="D43" s="10" t="s">
        <v>31</v>
      </c>
      <c r="E43" s="2" t="s">
        <v>32</v>
      </c>
      <c r="F43" s="86"/>
    </row>
    <row r="44" customFormat="false" ht="15.9" hidden="false" customHeight="false" outlineLevel="0" collapsed="false">
      <c r="B44" s="10" t="s">
        <v>6</v>
      </c>
      <c r="C44" s="6" t="s">
        <v>53</v>
      </c>
      <c r="D44" s="6"/>
      <c r="E44" s="23" t="n">
        <f aca="false">'Equipamentos Campus JK (Moto)'!H105</f>
        <v>349.891666666667</v>
      </c>
      <c r="F44" s="86"/>
    </row>
    <row r="45" customFormat="false" ht="15.25" hidden="false" customHeight="false" outlineLevel="0" collapsed="false">
      <c r="B45" s="10" t="s">
        <v>8</v>
      </c>
      <c r="C45" s="6" t="s">
        <v>54</v>
      </c>
      <c r="D45" s="6"/>
      <c r="E45" s="23" t="n">
        <f aca="false">'Equipamentos Campus JK (Moto)'!H103</f>
        <v>16.7999485055231</v>
      </c>
      <c r="F45" s="86"/>
    </row>
    <row r="46" customFormat="false" ht="15.25" hidden="false" customHeight="false" outlineLevel="0" collapsed="false">
      <c r="B46" s="10" t="s">
        <v>11</v>
      </c>
      <c r="C46" s="6" t="s">
        <v>55</v>
      </c>
      <c r="D46" s="6"/>
      <c r="E46" s="23" t="s">
        <v>145</v>
      </c>
      <c r="F46" s="45"/>
    </row>
    <row r="47" customFormat="false" ht="15.25" hidden="false" customHeight="false" outlineLevel="0" collapsed="false">
      <c r="B47" s="10" t="s">
        <v>14</v>
      </c>
      <c r="C47" s="6" t="s">
        <v>56</v>
      </c>
      <c r="D47" s="6"/>
      <c r="E47" s="23" t="n">
        <v>4</v>
      </c>
      <c r="F47" s="45"/>
    </row>
    <row r="48" customFormat="false" ht="15.25" hidden="false" customHeight="false" outlineLevel="0" collapsed="false">
      <c r="B48" s="10" t="s">
        <v>37</v>
      </c>
      <c r="C48" s="6" t="s">
        <v>146</v>
      </c>
      <c r="D48" s="6"/>
      <c r="E48" s="23" t="n">
        <f aca="false">'Equipamentos Campus JK (Moto)'!H95</f>
        <v>56.3020833333333</v>
      </c>
      <c r="F48" s="45"/>
    </row>
    <row r="49" customFormat="false" ht="15.25" hidden="false" customHeight="false" outlineLevel="0" collapsed="false">
      <c r="B49" s="10" t="s">
        <v>39</v>
      </c>
      <c r="C49" s="6" t="s">
        <v>57</v>
      </c>
      <c r="D49" s="6"/>
      <c r="E49" s="23" t="n">
        <f aca="false">'Média Insumos e benefícios'!K12</f>
        <v>128.666666666667</v>
      </c>
      <c r="F49" s="45"/>
    </row>
    <row r="50" customFormat="false" ht="15.25" hidden="false" customHeight="false" outlineLevel="0" collapsed="false">
      <c r="B50" s="10" t="s">
        <v>69</v>
      </c>
      <c r="C50" s="6" t="s">
        <v>147</v>
      </c>
      <c r="D50" s="6"/>
      <c r="E50" s="23" t="n">
        <f aca="false">'Equipamentos Campus JK (Moto)'!H99</f>
        <v>154.125</v>
      </c>
      <c r="F50" s="45"/>
    </row>
    <row r="51" customFormat="false" ht="15.25" hidden="false" customHeight="false" outlineLevel="0" collapsed="false">
      <c r="B51" s="20" t="s">
        <v>58</v>
      </c>
      <c r="C51" s="20"/>
      <c r="D51" s="20"/>
      <c r="E51" s="33" t="n">
        <f aca="false">SUM(E44:E50)</f>
        <v>709.78536517219</v>
      </c>
      <c r="F51" s="81"/>
    </row>
    <row r="52" customFormat="false" ht="15.25" hidden="false" customHeight="false" outlineLevel="0" collapsed="false">
      <c r="B52" s="2" t="s">
        <v>59</v>
      </c>
      <c r="C52" s="2"/>
      <c r="D52" s="2"/>
      <c r="E52" s="2"/>
      <c r="F52" s="45"/>
    </row>
    <row r="53" customFormat="false" ht="17.25" hidden="false" customHeight="false" outlineLevel="0" collapsed="false">
      <c r="B53" s="34" t="s">
        <v>60</v>
      </c>
      <c r="C53" s="34"/>
      <c r="D53" s="34"/>
      <c r="E53" s="34"/>
      <c r="F53" s="45"/>
    </row>
    <row r="54" customFormat="false" ht="17.25" hidden="false" customHeight="false" outlineLevel="0" collapsed="false">
      <c r="B54" s="2" t="s">
        <v>61</v>
      </c>
      <c r="C54" s="2" t="s">
        <v>62</v>
      </c>
      <c r="D54" s="10" t="s">
        <v>31</v>
      </c>
      <c r="E54" s="2" t="s">
        <v>32</v>
      </c>
      <c r="F54" s="40"/>
    </row>
    <row r="55" customFormat="false" ht="15.25" hidden="false" customHeight="false" outlineLevel="0" collapsed="false">
      <c r="B55" s="10" t="s">
        <v>6</v>
      </c>
      <c r="C55" s="6" t="s">
        <v>63</v>
      </c>
      <c r="D55" s="35" t="n">
        <v>0.2</v>
      </c>
      <c r="E55" s="24" t="n">
        <f aca="false">$E$32*D55</f>
        <v>616.780528</v>
      </c>
      <c r="F55" s="87"/>
    </row>
    <row r="56" customFormat="false" ht="17.25" hidden="false" customHeight="false" outlineLevel="0" collapsed="false">
      <c r="B56" s="10" t="s">
        <v>8</v>
      </c>
      <c r="C56" s="6" t="s">
        <v>64</v>
      </c>
      <c r="D56" s="35" t="n">
        <v>0.015</v>
      </c>
      <c r="E56" s="24" t="n">
        <f aca="false">$E$32*D56</f>
        <v>46.2585396</v>
      </c>
      <c r="F56" s="87"/>
    </row>
    <row r="57" customFormat="false" ht="17.25" hidden="false" customHeight="false" outlineLevel="0" collapsed="false">
      <c r="B57" s="10" t="s">
        <v>11</v>
      </c>
      <c r="C57" s="6" t="s">
        <v>65</v>
      </c>
      <c r="D57" s="35" t="n">
        <v>0.01</v>
      </c>
      <c r="E57" s="24" t="n">
        <f aca="false">$E$32*D57</f>
        <v>30.8390264</v>
      </c>
      <c r="F57" s="87"/>
    </row>
    <row r="58" customFormat="false" ht="17.25" hidden="false" customHeight="false" outlineLevel="0" collapsed="false">
      <c r="B58" s="10" t="s">
        <v>14</v>
      </c>
      <c r="C58" s="6" t="s">
        <v>66</v>
      </c>
      <c r="D58" s="35" t="n">
        <v>0.002</v>
      </c>
      <c r="E58" s="24" t="n">
        <f aca="false">$E$32*D58</f>
        <v>6.16780528</v>
      </c>
      <c r="F58" s="87"/>
    </row>
    <row r="59" customFormat="false" ht="17.25" hidden="false" customHeight="false" outlineLevel="0" collapsed="false">
      <c r="B59" s="10" t="s">
        <v>37</v>
      </c>
      <c r="C59" s="6" t="s">
        <v>67</v>
      </c>
      <c r="D59" s="35" t="n">
        <v>0.025</v>
      </c>
      <c r="E59" s="24" t="n">
        <f aca="false">$E$32*D59</f>
        <v>77.097566</v>
      </c>
      <c r="F59" s="87"/>
    </row>
    <row r="60" customFormat="false" ht="15.9" hidden="false" customHeight="false" outlineLevel="0" collapsed="false">
      <c r="B60" s="10" t="s">
        <v>39</v>
      </c>
      <c r="C60" s="6" t="s">
        <v>68</v>
      </c>
      <c r="D60" s="35" t="n">
        <v>0.08</v>
      </c>
      <c r="E60" s="24" t="n">
        <f aca="false">$E$32*D60</f>
        <v>246.7122112</v>
      </c>
      <c r="F60" s="87"/>
    </row>
    <row r="61" customFormat="false" ht="17.25" hidden="false" customHeight="false" outlineLevel="0" collapsed="false">
      <c r="B61" s="10" t="s">
        <v>69</v>
      </c>
      <c r="C61" s="6" t="s">
        <v>70</v>
      </c>
      <c r="D61" s="35" t="n">
        <v>0.03</v>
      </c>
      <c r="E61" s="24" t="n">
        <f aca="false">$E$32*D61</f>
        <v>92.5170792</v>
      </c>
      <c r="F61" s="87"/>
    </row>
    <row r="62" customFormat="false" ht="15.9" hidden="false" customHeight="false" outlineLevel="0" collapsed="false">
      <c r="B62" s="10" t="s">
        <v>71</v>
      </c>
      <c r="C62" s="6" t="s">
        <v>72</v>
      </c>
      <c r="D62" s="35" t="n">
        <v>0.006</v>
      </c>
      <c r="E62" s="24" t="n">
        <f aca="false">$E$32*D62</f>
        <v>18.50341584</v>
      </c>
      <c r="F62" s="87"/>
    </row>
    <row r="63" customFormat="false" ht="17.25" hidden="false" customHeight="false" outlineLevel="0" collapsed="false">
      <c r="B63" s="20" t="s">
        <v>73</v>
      </c>
      <c r="C63" s="20"/>
      <c r="D63" s="38" t="n">
        <v>0.368</v>
      </c>
      <c r="E63" s="21" t="n">
        <f aca="false">$E$32*D63</f>
        <v>1134.87617152</v>
      </c>
      <c r="F63" s="87"/>
    </row>
    <row r="64" customFormat="false" ht="17.25" hidden="false" customHeight="false" outlineLevel="0" collapsed="false">
      <c r="B64" s="34" t="s">
        <v>74</v>
      </c>
      <c r="C64" s="34"/>
      <c r="D64" s="34"/>
      <c r="E64" s="34"/>
      <c r="F64" s="30"/>
    </row>
    <row r="65" customFormat="false" ht="17.25" hidden="false" customHeight="false" outlineLevel="0" collapsed="false">
      <c r="B65" s="2" t="s">
        <v>75</v>
      </c>
      <c r="C65" s="34" t="s">
        <v>76</v>
      </c>
      <c r="D65" s="10" t="s">
        <v>31</v>
      </c>
      <c r="E65" s="2" t="s">
        <v>32</v>
      </c>
      <c r="F65" s="40"/>
    </row>
    <row r="66" customFormat="false" ht="17.25" hidden="false" customHeight="false" outlineLevel="0" collapsed="false">
      <c r="B66" s="10" t="s">
        <v>6</v>
      </c>
      <c r="C66" s="6" t="s">
        <v>77</v>
      </c>
      <c r="D66" s="41" t="n">
        <v>0.0833</v>
      </c>
      <c r="E66" s="24" t="n">
        <f aca="false">$E$32*D66</f>
        <v>256.889089912</v>
      </c>
      <c r="F66" s="88"/>
    </row>
    <row r="67" customFormat="false" ht="22" hidden="false" customHeight="true" outlineLevel="0" collapsed="false">
      <c r="B67" s="10" t="s">
        <v>8</v>
      </c>
      <c r="C67" s="7" t="s">
        <v>78</v>
      </c>
      <c r="D67" s="41" t="n">
        <f aca="false">D66*D63</f>
        <v>0.0306544</v>
      </c>
      <c r="E67" s="24" t="n">
        <f aca="false">$E$32*D67</f>
        <v>94.535185087616</v>
      </c>
      <c r="F67" s="88"/>
    </row>
    <row r="68" customFormat="false" ht="17.25" hidden="false" customHeight="false" outlineLevel="0" collapsed="false">
      <c r="B68" s="20" t="s">
        <v>73</v>
      </c>
      <c r="C68" s="20"/>
      <c r="D68" s="41" t="n">
        <v>0.1139544</v>
      </c>
      <c r="E68" s="21" t="n">
        <f aca="false">$E$32*D68</f>
        <v>351.424274999616</v>
      </c>
      <c r="F68" s="88"/>
    </row>
    <row r="69" customFormat="false" ht="17.25" hidden="false" customHeight="false" outlineLevel="0" collapsed="false">
      <c r="B69" s="34" t="s">
        <v>79</v>
      </c>
      <c r="C69" s="34"/>
      <c r="D69" s="34"/>
      <c r="E69" s="34"/>
      <c r="F69" s="45"/>
    </row>
    <row r="70" customFormat="false" ht="17.25" hidden="false" customHeight="false" outlineLevel="0" collapsed="false">
      <c r="B70" s="2" t="s">
        <v>80</v>
      </c>
      <c r="C70" s="2" t="s">
        <v>81</v>
      </c>
      <c r="D70" s="10" t="s">
        <v>31</v>
      </c>
      <c r="E70" s="2" t="s">
        <v>32</v>
      </c>
      <c r="F70" s="40"/>
    </row>
    <row r="71" customFormat="false" ht="17.25" hidden="false" customHeight="false" outlineLevel="0" collapsed="false">
      <c r="B71" s="10" t="s">
        <v>6</v>
      </c>
      <c r="C71" s="6" t="s">
        <v>81</v>
      </c>
      <c r="D71" s="44" t="n">
        <v>0.00074</v>
      </c>
      <c r="E71" s="24" t="n">
        <f aca="false">$E$32*D71</f>
        <v>2.2820879536</v>
      </c>
      <c r="F71" s="88"/>
    </row>
    <row r="72" customFormat="false" ht="17.2" hidden="false" customHeight="true" outlineLevel="0" collapsed="false">
      <c r="B72" s="10" t="s">
        <v>8</v>
      </c>
      <c r="C72" s="7" t="s">
        <v>82</v>
      </c>
      <c r="D72" s="44" t="n">
        <f aca="false">D71*D63</f>
        <v>0.00027232</v>
      </c>
      <c r="E72" s="24" t="n">
        <f aca="false">$E$32*D72</f>
        <v>0.8398083669248</v>
      </c>
      <c r="F72" s="88"/>
    </row>
    <row r="73" customFormat="false" ht="17.25" hidden="false" customHeight="false" outlineLevel="0" collapsed="false">
      <c r="B73" s="20" t="s">
        <v>73</v>
      </c>
      <c r="C73" s="20"/>
      <c r="D73" s="46" t="n">
        <v>0.00104</v>
      </c>
      <c r="E73" s="21" t="n">
        <f aca="false">$E$32*D73</f>
        <v>3.2072587456</v>
      </c>
      <c r="F73" s="88"/>
    </row>
    <row r="74" customFormat="false" ht="17.25" hidden="false" customHeight="false" outlineLevel="0" collapsed="false">
      <c r="B74" s="34" t="s">
        <v>83</v>
      </c>
      <c r="C74" s="34"/>
      <c r="D74" s="34"/>
      <c r="E74" s="34"/>
      <c r="F74" s="45"/>
    </row>
    <row r="75" customFormat="false" ht="17.25" hidden="false" customHeight="false" outlineLevel="0" collapsed="false">
      <c r="B75" s="2" t="s">
        <v>84</v>
      </c>
      <c r="C75" s="2" t="s">
        <v>85</v>
      </c>
      <c r="D75" s="10" t="s">
        <v>31</v>
      </c>
      <c r="E75" s="2" t="s">
        <v>32</v>
      </c>
      <c r="F75" s="40"/>
    </row>
    <row r="76" customFormat="false" ht="17.25" hidden="false" customHeight="false" outlineLevel="0" collapsed="false">
      <c r="B76" s="10" t="s">
        <v>6</v>
      </c>
      <c r="C76" s="6" t="s">
        <v>86</v>
      </c>
      <c r="D76" s="41" t="n">
        <v>0.00416666666666667</v>
      </c>
      <c r="E76" s="24" t="n">
        <f aca="false">$E$32*D76</f>
        <v>12.8495943333333</v>
      </c>
      <c r="F76" s="88"/>
    </row>
    <row r="77" customFormat="false" ht="19.1" hidden="false" customHeight="true" outlineLevel="0" collapsed="false">
      <c r="B77" s="10" t="s">
        <v>8</v>
      </c>
      <c r="C77" s="7" t="s">
        <v>87</v>
      </c>
      <c r="D77" s="41" t="n">
        <v>0.000333333333333333</v>
      </c>
      <c r="E77" s="24" t="n">
        <f aca="false">$E$32*D77</f>
        <v>1.02796754666667</v>
      </c>
      <c r="F77" s="88"/>
    </row>
    <row r="78" customFormat="false" ht="17.25" hidden="false" customHeight="false" outlineLevel="0" collapsed="false">
      <c r="B78" s="10" t="s">
        <v>11</v>
      </c>
      <c r="C78" s="6" t="s">
        <v>88</v>
      </c>
      <c r="D78" s="41" t="n">
        <v>0.043</v>
      </c>
      <c r="E78" s="24" t="n">
        <f aca="false">$E$32*D78</f>
        <v>132.60781352</v>
      </c>
      <c r="F78" s="88"/>
    </row>
    <row r="79" customFormat="false" ht="17.25" hidden="false" customHeight="false" outlineLevel="0" collapsed="false">
      <c r="B79" s="10" t="s">
        <v>14</v>
      </c>
      <c r="C79" s="6" t="s">
        <v>89</v>
      </c>
      <c r="D79" s="47" t="n">
        <v>0.0194444444444444</v>
      </c>
      <c r="E79" s="24" t="n">
        <f aca="false">$E$32*D79</f>
        <v>59.9647735555554</v>
      </c>
      <c r="F79" s="89"/>
    </row>
    <row r="80" customFormat="false" ht="19.1" hidden="false" customHeight="true" outlineLevel="0" collapsed="false">
      <c r="B80" s="10" t="s">
        <v>37</v>
      </c>
      <c r="C80" s="7" t="s">
        <v>90</v>
      </c>
      <c r="D80" s="41" t="n">
        <v>0.00715555555555556</v>
      </c>
      <c r="E80" s="24" t="n">
        <f aca="false">$E$32*D80</f>
        <v>22.0670366684445</v>
      </c>
      <c r="F80" s="88"/>
    </row>
    <row r="81" customFormat="false" ht="17.25" hidden="false" customHeight="false" outlineLevel="0" collapsed="false">
      <c r="B81" s="10" t="s">
        <v>39</v>
      </c>
      <c r="C81" s="6" t="s">
        <v>91</v>
      </c>
      <c r="D81" s="41" t="n">
        <v>0.000776</v>
      </c>
      <c r="E81" s="24" t="n">
        <f aca="false">$E$32*D81</f>
        <v>2.39310844864</v>
      </c>
      <c r="F81" s="88"/>
    </row>
    <row r="82" customFormat="false" ht="17.25" hidden="false" customHeight="false" outlineLevel="0" collapsed="false">
      <c r="B82" s="20" t="s">
        <v>73</v>
      </c>
      <c r="C82" s="20"/>
      <c r="D82" s="41" t="n">
        <v>0.074876</v>
      </c>
      <c r="E82" s="21" t="n">
        <f aca="false">$E$32*D82</f>
        <v>230.91029407264</v>
      </c>
      <c r="F82" s="88"/>
    </row>
    <row r="83" customFormat="false" ht="17.25" hidden="false" customHeight="false" outlineLevel="0" collapsed="false">
      <c r="B83" s="34" t="s">
        <v>92</v>
      </c>
      <c r="C83" s="34"/>
      <c r="D83" s="34"/>
      <c r="E83" s="34"/>
      <c r="F83" s="45"/>
    </row>
    <row r="84" customFormat="false" ht="25.8" hidden="false" customHeight="true" outlineLevel="0" collapsed="false">
      <c r="B84" s="2" t="s">
        <v>93</v>
      </c>
      <c r="C84" s="14" t="s">
        <v>94</v>
      </c>
      <c r="D84" s="48" t="s">
        <v>31</v>
      </c>
      <c r="E84" s="2" t="s">
        <v>32</v>
      </c>
      <c r="F84" s="90"/>
    </row>
    <row r="85" customFormat="false" ht="17.25" hidden="false" customHeight="false" outlineLevel="0" collapsed="false">
      <c r="B85" s="10" t="s">
        <v>6</v>
      </c>
      <c r="C85" s="6" t="s">
        <v>95</v>
      </c>
      <c r="D85" s="49" t="n">
        <v>0.1111</v>
      </c>
      <c r="E85" s="24" t="n">
        <f aca="false">$E$32*D85</f>
        <v>342.621583304</v>
      </c>
      <c r="F85" s="88"/>
    </row>
    <row r="86" customFormat="false" ht="17.25" hidden="false" customHeight="false" outlineLevel="0" collapsed="false">
      <c r="B86" s="10" t="s">
        <v>8</v>
      </c>
      <c r="C86" s="6" t="s">
        <v>96</v>
      </c>
      <c r="D86" s="49" t="n">
        <v>0.0166</v>
      </c>
      <c r="E86" s="24" t="n">
        <f aca="false">$E$32*D86</f>
        <v>51.192783824</v>
      </c>
      <c r="F86" s="90"/>
    </row>
    <row r="87" customFormat="false" ht="17.25" hidden="false" customHeight="false" outlineLevel="0" collapsed="false">
      <c r="B87" s="10" t="s">
        <v>11</v>
      </c>
      <c r="C87" s="6" t="s">
        <v>97</v>
      </c>
      <c r="D87" s="49" t="n">
        <v>0.0002</v>
      </c>
      <c r="E87" s="24" t="n">
        <f aca="false">$E$32*D87</f>
        <v>0.616780528</v>
      </c>
      <c r="F87" s="90"/>
    </row>
    <row r="88" customFormat="false" ht="17.25" hidden="false" customHeight="false" outlineLevel="0" collapsed="false">
      <c r="B88" s="10" t="s">
        <v>14</v>
      </c>
      <c r="C88" s="6" t="s">
        <v>98</v>
      </c>
      <c r="D88" s="49" t="n">
        <v>0.0028</v>
      </c>
      <c r="E88" s="24" t="n">
        <f aca="false">$E$32*D88</f>
        <v>8.634927392</v>
      </c>
      <c r="F88" s="90"/>
    </row>
    <row r="89" customFormat="false" ht="17.25" hidden="false" customHeight="false" outlineLevel="0" collapsed="false">
      <c r="B89" s="10" t="s">
        <v>37</v>
      </c>
      <c r="C89" s="6" t="s">
        <v>99</v>
      </c>
      <c r="D89" s="49" t="n">
        <v>0.0003</v>
      </c>
      <c r="E89" s="24" t="n">
        <f aca="false">$E$32*D89</f>
        <v>0.925170792</v>
      </c>
      <c r="F89" s="90"/>
    </row>
    <row r="90" customFormat="false" ht="15.25" hidden="false" customHeight="false" outlineLevel="0" collapsed="false">
      <c r="B90" s="10" t="s">
        <v>39</v>
      </c>
      <c r="C90" s="6" t="s">
        <v>100</v>
      </c>
      <c r="D90" s="49"/>
      <c r="E90" s="24"/>
      <c r="F90" s="90"/>
    </row>
    <row r="91" customFormat="false" ht="17.25" hidden="false" customHeight="false" outlineLevel="0" collapsed="false">
      <c r="B91" s="34" t="s">
        <v>101</v>
      </c>
      <c r="C91" s="34"/>
      <c r="D91" s="53" t="n">
        <v>0.131</v>
      </c>
      <c r="E91" s="21" t="n">
        <f aca="false">$E$32*D91</f>
        <v>403.99124584</v>
      </c>
      <c r="F91" s="90"/>
    </row>
    <row r="92" customFormat="false" ht="24.85" hidden="false" customHeight="true" outlineLevel="0" collapsed="false">
      <c r="B92" s="10" t="s">
        <v>69</v>
      </c>
      <c r="C92" s="54" t="s">
        <v>102</v>
      </c>
      <c r="D92" s="49" t="n">
        <v>0.048208</v>
      </c>
      <c r="E92" s="24" t="n">
        <f aca="false">$E$32*D92</f>
        <v>148.66877846912</v>
      </c>
      <c r="F92" s="90"/>
    </row>
    <row r="93" customFormat="false" ht="17.25" hidden="false" customHeight="false" outlineLevel="0" collapsed="false">
      <c r="B93" s="20" t="s">
        <v>73</v>
      </c>
      <c r="C93" s="20"/>
      <c r="D93" s="53" t="n">
        <v>0.179208</v>
      </c>
      <c r="E93" s="21" t="n">
        <f aca="false">$E$32*D93</f>
        <v>552.66002430912</v>
      </c>
      <c r="F93" s="90"/>
    </row>
    <row r="94" customFormat="false" ht="30.6" hidden="false" customHeight="true" outlineLevel="0" collapsed="false">
      <c r="B94" s="14" t="s">
        <v>103</v>
      </c>
      <c r="C94" s="14"/>
      <c r="D94" s="14"/>
      <c r="E94" s="14"/>
      <c r="F94" s="45"/>
    </row>
    <row r="95" customFormat="false" ht="17.25" hidden="false" customHeight="false" outlineLevel="0" collapsed="false">
      <c r="B95" s="2" t="n">
        <v>4</v>
      </c>
      <c r="C95" s="2" t="s">
        <v>104</v>
      </c>
      <c r="D95" s="10" t="s">
        <v>31</v>
      </c>
      <c r="E95" s="2" t="s">
        <v>32</v>
      </c>
      <c r="F95" s="45"/>
    </row>
    <row r="96" customFormat="false" ht="17.25" hidden="false" customHeight="false" outlineLevel="0" collapsed="false">
      <c r="B96" s="10" t="s">
        <v>105</v>
      </c>
      <c r="C96" s="6" t="s">
        <v>106</v>
      </c>
      <c r="D96" s="56" t="n">
        <v>0.368</v>
      </c>
      <c r="E96" s="24" t="n">
        <f aca="false">$E$32*D96</f>
        <v>1134.87617152</v>
      </c>
      <c r="F96" s="90"/>
    </row>
    <row r="97" customFormat="false" ht="17.25" hidden="false" customHeight="false" outlineLevel="0" collapsed="false">
      <c r="B97" s="10" t="s">
        <v>107</v>
      </c>
      <c r="C97" s="6" t="s">
        <v>108</v>
      </c>
      <c r="D97" s="56" t="n">
        <v>0.1139544</v>
      </c>
      <c r="E97" s="24" t="n">
        <f aca="false">$E$32*D97</f>
        <v>351.424274999616</v>
      </c>
      <c r="F97" s="88"/>
    </row>
    <row r="98" customFormat="false" ht="17.25" hidden="false" customHeight="false" outlineLevel="0" collapsed="false">
      <c r="B98" s="10" t="s">
        <v>109</v>
      </c>
      <c r="C98" s="6" t="s">
        <v>110</v>
      </c>
      <c r="D98" s="56" t="n">
        <v>0.00104</v>
      </c>
      <c r="E98" s="24" t="n">
        <f aca="false">$E$32*D98</f>
        <v>3.2072587456</v>
      </c>
      <c r="F98" s="88"/>
    </row>
    <row r="99" customFormat="false" ht="17.25" hidden="false" customHeight="false" outlineLevel="0" collapsed="false">
      <c r="B99" s="10" t="s">
        <v>111</v>
      </c>
      <c r="C99" s="6" t="s">
        <v>112</v>
      </c>
      <c r="D99" s="56" t="n">
        <v>0.074876</v>
      </c>
      <c r="E99" s="24" t="n">
        <f aca="false">$E$32*D99</f>
        <v>230.91029407264</v>
      </c>
      <c r="F99" s="90"/>
    </row>
    <row r="100" customFormat="false" ht="17.25" hidden="false" customHeight="false" outlineLevel="0" collapsed="false">
      <c r="B100" s="10" t="s">
        <v>113</v>
      </c>
      <c r="C100" s="6" t="s">
        <v>114</v>
      </c>
      <c r="D100" s="56" t="n">
        <v>0.179208</v>
      </c>
      <c r="E100" s="24" t="n">
        <f aca="false">$E$32*D100</f>
        <v>552.66002430912</v>
      </c>
      <c r="F100" s="90"/>
    </row>
    <row r="101" customFormat="false" ht="17.25" hidden="false" customHeight="false" outlineLevel="0" collapsed="false">
      <c r="B101" s="10" t="s">
        <v>115</v>
      </c>
      <c r="C101" s="6" t="s">
        <v>100</v>
      </c>
      <c r="D101" s="56"/>
      <c r="E101" s="24"/>
      <c r="F101" s="45"/>
    </row>
    <row r="102" customFormat="false" ht="17.25" hidden="false" customHeight="false" outlineLevel="0" collapsed="false">
      <c r="B102" s="20" t="s">
        <v>73</v>
      </c>
      <c r="C102" s="20"/>
      <c r="D102" s="57" t="n">
        <v>0.7370784</v>
      </c>
      <c r="E102" s="21" t="n">
        <f aca="false">$E$32*D102</f>
        <v>2273.07802364698</v>
      </c>
      <c r="F102" s="91"/>
    </row>
    <row r="103" customFormat="false" ht="17.25" hidden="false" customHeight="false" outlineLevel="0" collapsed="false">
      <c r="B103" s="2" t="s">
        <v>116</v>
      </c>
      <c r="C103" s="2"/>
      <c r="D103" s="2"/>
      <c r="E103" s="2"/>
      <c r="F103" s="45"/>
    </row>
    <row r="104" customFormat="false" ht="17.25" hidden="false" customHeight="false" outlineLevel="0" collapsed="false">
      <c r="B104" s="2" t="n">
        <v>5</v>
      </c>
      <c r="C104" s="2" t="s">
        <v>117</v>
      </c>
      <c r="D104" s="10" t="s">
        <v>31</v>
      </c>
      <c r="E104" s="2" t="s">
        <v>32</v>
      </c>
      <c r="F104" s="45"/>
    </row>
    <row r="105" customFormat="false" ht="17.25" hidden="false" customHeight="false" outlineLevel="0" collapsed="false">
      <c r="B105" s="10" t="s">
        <v>6</v>
      </c>
      <c r="C105" s="59" t="s">
        <v>118</v>
      </c>
      <c r="D105" s="38" t="n">
        <v>0.06</v>
      </c>
      <c r="E105" s="33" t="n">
        <f aca="false">E124*D105</f>
        <v>399.983518872007</v>
      </c>
      <c r="F105" s="81"/>
    </row>
    <row r="106" customFormat="false" ht="17.25" hidden="false" customHeight="false" outlineLevel="0" collapsed="false">
      <c r="B106" s="10" t="s">
        <v>8</v>
      </c>
      <c r="C106" s="59" t="s">
        <v>119</v>
      </c>
      <c r="D106" s="38" t="n">
        <v>0.0679</v>
      </c>
      <c r="E106" s="33" t="n">
        <f aca="false">(E124+E105)*D106</f>
        <v>479.806896454897</v>
      </c>
      <c r="F106" s="81"/>
    </row>
    <row r="107" customFormat="false" ht="17.25" hidden="false" customHeight="false" outlineLevel="0" collapsed="false">
      <c r="B107" s="10" t="s">
        <v>11</v>
      </c>
      <c r="C107" s="59" t="s">
        <v>120</v>
      </c>
      <c r="D107" s="6"/>
      <c r="E107" s="6"/>
      <c r="F107" s="45"/>
    </row>
    <row r="108" customFormat="false" ht="17.25" hidden="false" customHeight="false" outlineLevel="0" collapsed="false">
      <c r="B108" s="60" t="s">
        <v>121</v>
      </c>
      <c r="C108" s="6" t="s">
        <v>122</v>
      </c>
      <c r="D108" s="61" t="n">
        <v>3</v>
      </c>
      <c r="E108" s="62" t="n">
        <f aca="false">E126*D108/100</f>
        <v>247.822081987751</v>
      </c>
      <c r="F108" s="45"/>
    </row>
    <row r="109" customFormat="false" ht="17.25" hidden="false" customHeight="false" outlineLevel="0" collapsed="false">
      <c r="B109" s="60"/>
      <c r="C109" s="6" t="s">
        <v>123</v>
      </c>
      <c r="D109" s="61" t="n">
        <v>0.65</v>
      </c>
      <c r="E109" s="62" t="n">
        <f aca="false">E126*D109/100</f>
        <v>53.6947844306794</v>
      </c>
      <c r="F109" s="45"/>
    </row>
    <row r="110" customFormat="false" ht="17.25" hidden="false" customHeight="false" outlineLevel="0" collapsed="false">
      <c r="B110" s="60" t="s">
        <v>124</v>
      </c>
      <c r="C110" s="6" t="s">
        <v>125</v>
      </c>
      <c r="D110" s="61"/>
      <c r="E110" s="62"/>
      <c r="F110" s="45"/>
    </row>
    <row r="111" customFormat="false" ht="17.25" hidden="false" customHeight="false" outlineLevel="0" collapsed="false">
      <c r="B111" s="60" t="s">
        <v>126</v>
      </c>
      <c r="C111" s="6" t="s">
        <v>127</v>
      </c>
      <c r="D111" s="61" t="n">
        <v>5</v>
      </c>
      <c r="E111" s="62" t="n">
        <f aca="false">E126*D111/100</f>
        <v>413.036803312919</v>
      </c>
      <c r="F111" s="45"/>
    </row>
    <row r="112" customFormat="false" ht="17.25" hidden="false" customHeight="false" outlineLevel="0" collapsed="false">
      <c r="B112" s="60" t="s">
        <v>128</v>
      </c>
      <c r="C112" s="6" t="s">
        <v>129</v>
      </c>
      <c r="D112" s="38"/>
      <c r="E112" s="62"/>
      <c r="F112" s="45"/>
    </row>
    <row r="114" customFormat="false" ht="17.25" hidden="false" customHeight="false" outlineLevel="0" collapsed="false">
      <c r="B114" s="20" t="s">
        <v>130</v>
      </c>
      <c r="C114" s="20"/>
      <c r="D114" s="2" t="n">
        <v>11.25</v>
      </c>
      <c r="E114" s="33" t="n">
        <f aca="false">SUM(E105:E111)</f>
        <v>1594.34408505825</v>
      </c>
      <c r="F114" s="45"/>
    </row>
    <row r="115" customFormat="false" ht="17.25" hidden="false" customHeight="true" outlineLevel="0" collapsed="false">
      <c r="B115" s="65" t="s">
        <v>131</v>
      </c>
      <c r="C115" s="65"/>
      <c r="D115" s="66" t="n">
        <f aca="false">(1-(D108+D109+D111)/100)</f>
        <v>0.9135</v>
      </c>
      <c r="E115" s="67"/>
      <c r="F115" s="45"/>
    </row>
    <row r="116" customFormat="false" ht="28.7" hidden="false" customHeight="true" outlineLevel="0" collapsed="false">
      <c r="B116" s="65"/>
      <c r="C116" s="65"/>
      <c r="D116" s="68" t="n">
        <f aca="false">(E124+E105+E106)/D115</f>
        <v>8260.73606625837</v>
      </c>
      <c r="E116" s="69"/>
      <c r="F116" s="45"/>
    </row>
    <row r="117" customFormat="false" ht="17.25" hidden="false" customHeight="true" outlineLevel="0" collapsed="false">
      <c r="B117" s="4" t="s">
        <v>132</v>
      </c>
      <c r="C117" s="4"/>
      <c r="D117" s="33"/>
      <c r="E117" s="71"/>
      <c r="F117" s="81"/>
    </row>
    <row r="118" customFormat="false" ht="17.25" hidden="false" customHeight="true" outlineLevel="0" collapsed="false">
      <c r="B118" s="2" t="s">
        <v>133</v>
      </c>
      <c r="C118" s="2"/>
      <c r="D118" s="2"/>
      <c r="E118" s="2"/>
      <c r="F118" s="45"/>
    </row>
    <row r="119" customFormat="false" ht="57.4" hidden="false" customHeight="true" outlineLevel="0" collapsed="false">
      <c r="B119" s="2"/>
      <c r="C119" s="14" t="s">
        <v>134</v>
      </c>
      <c r="D119" s="14"/>
      <c r="E119" s="2" t="s">
        <v>32</v>
      </c>
      <c r="F119" s="45"/>
    </row>
    <row r="120" customFormat="false" ht="17.25" hidden="false" customHeight="false" outlineLevel="0" collapsed="false">
      <c r="B120" s="10" t="s">
        <v>6</v>
      </c>
      <c r="C120" s="34" t="s">
        <v>135</v>
      </c>
      <c r="D120" s="34"/>
      <c r="E120" s="71" t="n">
        <f aca="false">E32</f>
        <v>3083.90264</v>
      </c>
      <c r="F120" s="45"/>
    </row>
    <row r="121" customFormat="false" ht="17.25" hidden="false" customHeight="true" outlineLevel="0" collapsed="false">
      <c r="B121" s="10" t="s">
        <v>8</v>
      </c>
      <c r="C121" s="34" t="s">
        <v>136</v>
      </c>
      <c r="D121" s="34"/>
      <c r="E121" s="23" t="n">
        <f aca="false">E41</f>
        <v>599.625952380952</v>
      </c>
      <c r="F121" s="45"/>
    </row>
    <row r="122" customFormat="false" ht="17.25" hidden="false" customHeight="false" outlineLevel="0" collapsed="false">
      <c r="B122" s="10" t="s">
        <v>11</v>
      </c>
      <c r="C122" s="34" t="s">
        <v>137</v>
      </c>
      <c r="D122" s="34"/>
      <c r="E122" s="71" t="n">
        <f aca="false">E51</f>
        <v>709.78536517219</v>
      </c>
      <c r="F122" s="45"/>
    </row>
    <row r="123" customFormat="false" ht="17.25" hidden="false" customHeight="false" outlineLevel="0" collapsed="false">
      <c r="B123" s="10" t="s">
        <v>14</v>
      </c>
      <c r="C123" s="34" t="s">
        <v>138</v>
      </c>
      <c r="D123" s="34"/>
      <c r="E123" s="23" t="n">
        <f aca="false">E102</f>
        <v>2273.07802364698</v>
      </c>
      <c r="F123" s="45"/>
    </row>
    <row r="124" customFormat="false" ht="17.25" hidden="false" customHeight="false" outlineLevel="0" collapsed="false">
      <c r="B124" s="20" t="s">
        <v>139</v>
      </c>
      <c r="C124" s="20"/>
      <c r="D124" s="20"/>
      <c r="E124" s="72" t="n">
        <f aca="false">SUM(E120:E123)</f>
        <v>6666.39198120012</v>
      </c>
      <c r="F124" s="45"/>
    </row>
    <row r="125" customFormat="false" ht="17.25" hidden="false" customHeight="false" outlineLevel="0" collapsed="false">
      <c r="B125" s="10" t="s">
        <v>37</v>
      </c>
      <c r="C125" s="2" t="s">
        <v>140</v>
      </c>
      <c r="D125" s="2"/>
      <c r="E125" s="23" t="n">
        <f aca="false">E114</f>
        <v>1594.34408505825</v>
      </c>
      <c r="F125" s="45"/>
    </row>
    <row r="126" customFormat="false" ht="17.25" hidden="false" customHeight="false" outlineLevel="0" collapsed="false">
      <c r="B126" s="2" t="s">
        <v>141</v>
      </c>
      <c r="C126" s="2"/>
      <c r="D126" s="2"/>
      <c r="E126" s="73" t="n">
        <f aca="false">(E124+E105+E106)/(1-(D108+D109+D111)/100)</f>
        <v>8260.73606625837</v>
      </c>
      <c r="F126" s="45"/>
    </row>
    <row r="127" customFormat="false" ht="15.9" hidden="false" customHeight="false" outlineLevel="0" collapsed="false">
      <c r="B127" s="2" t="s">
        <v>142</v>
      </c>
      <c r="C127" s="2"/>
      <c r="D127" s="2"/>
      <c r="E127" s="73" t="n">
        <f aca="false">E126*2</f>
        <v>16521.4721325167</v>
      </c>
      <c r="F127" s="45"/>
    </row>
    <row r="137" customFormat="false" ht="14.05" hidden="false" customHeight="false" outlineLevel="0" collapsed="false"/>
    <row r="1048573" customFormat="false" ht="12.85" hidden="false" customHeight="false" outlineLevel="0" collapsed="false"/>
    <row r="1048574" customFormat="false" ht="12.85" hidden="false" customHeight="false" outlineLevel="0" collapsed="false"/>
    <row r="1048575" customFormat="false" ht="12.85" hidden="false" customHeight="false" outlineLevel="0" collapsed="false"/>
    <row r="1048576" customFormat="false" ht="12.85" hidden="false" customHeight="false" outlineLevel="0" collapsed="false"/>
  </sheetData>
  <mergeCells count="58">
    <mergeCell ref="B3:E5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B24:E24"/>
    <mergeCell ref="B32:D32"/>
    <mergeCell ref="B33:E33"/>
    <mergeCell ref="B41:D41"/>
    <mergeCell ref="B42:E42"/>
    <mergeCell ref="B51:D51"/>
    <mergeCell ref="B52:E52"/>
    <mergeCell ref="B53:E53"/>
    <mergeCell ref="B63:C63"/>
    <mergeCell ref="B64:E64"/>
    <mergeCell ref="B68:C68"/>
    <mergeCell ref="B69:E69"/>
    <mergeCell ref="B73:C73"/>
    <mergeCell ref="B74:E74"/>
    <mergeCell ref="B82:C82"/>
    <mergeCell ref="B83:E83"/>
    <mergeCell ref="B91:C91"/>
    <mergeCell ref="B93:C93"/>
    <mergeCell ref="B94:E94"/>
    <mergeCell ref="B102:C102"/>
    <mergeCell ref="B103:E103"/>
    <mergeCell ref="B108:B109"/>
    <mergeCell ref="B114:C114"/>
    <mergeCell ref="B115:C116"/>
    <mergeCell ref="B117:C117"/>
    <mergeCell ref="B118:E118"/>
    <mergeCell ref="C119:D119"/>
    <mergeCell ref="C120:D120"/>
    <mergeCell ref="C121:D121"/>
    <mergeCell ref="C122:D122"/>
    <mergeCell ref="C123:D123"/>
    <mergeCell ref="B124:D124"/>
    <mergeCell ref="C125:D125"/>
    <mergeCell ref="B126:D126"/>
    <mergeCell ref="B127:D12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F65536"/>
  <sheetViews>
    <sheetView windowProtection="false" showFormulas="false" showGridLines="true" showRowColHeaders="true" showZeros="true" rightToLeft="false" tabSelected="false" showOutlineSymbols="true" defaultGridColor="true" view="normal" topLeftCell="A22" colorId="64" zoomScale="75" zoomScaleNormal="75" zoomScalePageLayoutView="100" workbookViewId="0">
      <selection pane="topLeft" activeCell="E49" activeCellId="0" sqref="E49"/>
    </sheetView>
  </sheetViews>
  <sheetFormatPr defaultRowHeight="16.05"/>
  <cols>
    <col collapsed="false" hidden="false" max="1" min="1" style="0" width="10.5023255813953"/>
    <col collapsed="false" hidden="false" max="2" min="2" style="0" width="6.87441860465116"/>
    <col collapsed="false" hidden="false" max="3" min="3" style="0" width="53.5395348837209"/>
    <col collapsed="false" hidden="false" max="4" min="4" style="0" width="18.8604651162791"/>
    <col collapsed="false" hidden="false" max="5" min="5" style="0" width="11.7953488372093"/>
    <col collapsed="false" hidden="false" max="6" min="6" style="0" width="14.5116279069767"/>
    <col collapsed="false" hidden="false" max="1025" min="7" style="0" width="10.5023255813953"/>
  </cols>
  <sheetData>
    <row r="1" customFormat="false" ht="14.05" hidden="false" customHeight="false" outlineLevel="0" collapsed="false"/>
    <row r="3" customFormat="false" ht="17.25" hidden="false" customHeight="false" outlineLevel="0" collapsed="false">
      <c r="B3" s="2" t="s">
        <v>0</v>
      </c>
      <c r="C3" s="2"/>
      <c r="D3" s="2"/>
      <c r="E3" s="2"/>
      <c r="F3" s="45"/>
    </row>
    <row r="4" customFormat="false" ht="17.25" hidden="false" customHeight="false" outlineLevel="0" collapsed="false">
      <c r="B4" s="2"/>
      <c r="C4" s="2"/>
      <c r="D4" s="2"/>
      <c r="E4" s="2"/>
      <c r="F4" s="45"/>
    </row>
    <row r="5" customFormat="false" ht="17.25" hidden="false" customHeight="false" outlineLevel="0" collapsed="false">
      <c r="B5" s="2"/>
      <c r="C5" s="2"/>
      <c r="D5" s="2"/>
      <c r="E5" s="2"/>
      <c r="F5" s="80"/>
    </row>
    <row r="6" customFormat="false" ht="17.25" hidden="false" customHeight="false" outlineLevel="0" collapsed="false">
      <c r="B6" s="4" t="s">
        <v>1</v>
      </c>
      <c r="C6" s="4"/>
      <c r="D6" s="5"/>
      <c r="E6" s="5"/>
      <c r="F6" s="45"/>
    </row>
    <row r="7" customFormat="false" ht="17.25" hidden="false" customHeight="false" outlineLevel="0" collapsed="false">
      <c r="B7" s="4" t="s">
        <v>2</v>
      </c>
      <c r="C7" s="4"/>
      <c r="D7" s="5"/>
      <c r="E7" s="5"/>
      <c r="F7" s="45"/>
    </row>
    <row r="8" customFormat="false" ht="17.25" hidden="false" customHeight="false" outlineLevel="0" collapsed="false">
      <c r="B8" s="4" t="s">
        <v>3</v>
      </c>
      <c r="C8" s="4"/>
      <c r="D8" s="5"/>
      <c r="E8" s="5"/>
      <c r="F8" s="45"/>
    </row>
    <row r="9" customFormat="false" ht="17.25" hidden="false" customHeight="false" outlineLevel="0" collapsed="false">
      <c r="B9" s="4" t="s">
        <v>4</v>
      </c>
      <c r="C9" s="4"/>
      <c r="D9" s="5"/>
      <c r="E9" s="5"/>
      <c r="F9" s="45"/>
    </row>
    <row r="10" customFormat="false" ht="17.25" hidden="false" customHeight="false" outlineLevel="0" collapsed="false">
      <c r="B10" s="2" t="s">
        <v>5</v>
      </c>
      <c r="C10" s="2"/>
      <c r="D10" s="2"/>
      <c r="E10" s="2"/>
      <c r="F10" s="45"/>
    </row>
    <row r="11" customFormat="false" ht="17.25" hidden="false" customHeight="false" outlineLevel="0" collapsed="false">
      <c r="B11" s="6" t="s">
        <v>6</v>
      </c>
      <c r="C11" s="6" t="s">
        <v>7</v>
      </c>
      <c r="D11" s="5"/>
      <c r="E11" s="5"/>
      <c r="F11" s="45"/>
    </row>
    <row r="12" customFormat="false" ht="17.25" hidden="false" customHeight="false" outlineLevel="0" collapsed="false">
      <c r="B12" s="6" t="s">
        <v>8</v>
      </c>
      <c r="C12" s="6" t="s">
        <v>9</v>
      </c>
      <c r="D12" s="2" t="s">
        <v>143</v>
      </c>
      <c r="E12" s="2"/>
      <c r="F12" s="45"/>
    </row>
    <row r="13" customFormat="false" ht="20.05" hidden="false" customHeight="true" outlineLevel="0" collapsed="false">
      <c r="B13" s="6" t="s">
        <v>11</v>
      </c>
      <c r="C13" s="7" t="s">
        <v>12</v>
      </c>
      <c r="D13" s="2" t="s">
        <v>13</v>
      </c>
      <c r="E13" s="2"/>
      <c r="F13" s="45"/>
    </row>
    <row r="14" customFormat="false" ht="17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  <c r="F14" s="45"/>
    </row>
    <row r="15" customFormat="false" ht="17.25" hidden="false" customHeight="false" outlineLevel="0" collapsed="false">
      <c r="B15" s="2" t="s">
        <v>16</v>
      </c>
      <c r="C15" s="2"/>
      <c r="D15" s="2"/>
      <c r="E15" s="2"/>
      <c r="F15" s="45"/>
    </row>
    <row r="16" customFormat="false" ht="71.75" hidden="false" customHeight="true" outlineLevel="0" collapsed="false">
      <c r="B16" s="9" t="s">
        <v>17</v>
      </c>
      <c r="C16" s="9"/>
      <c r="D16" s="9" t="s">
        <v>18</v>
      </c>
      <c r="E16" s="9" t="s">
        <v>19</v>
      </c>
      <c r="F16" s="45"/>
    </row>
    <row r="17" customFormat="false" ht="17.25" hidden="false" customHeight="false" outlineLevel="0" collapsed="false">
      <c r="B17" s="2" t="s">
        <v>20</v>
      </c>
      <c r="C17" s="2"/>
      <c r="D17" s="6" t="s">
        <v>21</v>
      </c>
      <c r="E17" s="2" t="n">
        <v>1</v>
      </c>
      <c r="F17" s="45"/>
    </row>
    <row r="18" customFormat="false" ht="17.25" hidden="false" customHeight="false" outlineLevel="0" collapsed="false">
      <c r="B18" s="2" t="s">
        <v>22</v>
      </c>
      <c r="C18" s="2"/>
      <c r="D18" s="2"/>
      <c r="E18" s="2"/>
      <c r="F18" s="45"/>
    </row>
    <row r="19" customFormat="false" ht="17.25" hidden="false" customHeight="false" outlineLevel="0" collapsed="false">
      <c r="B19" s="2" t="s">
        <v>23</v>
      </c>
      <c r="C19" s="2"/>
      <c r="D19" s="2"/>
      <c r="E19" s="2"/>
      <c r="F19" s="45"/>
    </row>
    <row r="20" customFormat="false" ht="17.25" hidden="false" customHeight="false" outlineLevel="0" collapsed="false">
      <c r="B20" s="10" t="n">
        <v>1</v>
      </c>
      <c r="C20" s="6" t="s">
        <v>24</v>
      </c>
      <c r="D20" s="77" t="s">
        <v>159</v>
      </c>
      <c r="E20" s="77"/>
      <c r="F20" s="45"/>
    </row>
    <row r="21" customFormat="false" ht="17.25" hidden="false" customHeight="false" outlineLevel="0" collapsed="false">
      <c r="B21" s="10" t="n">
        <v>2</v>
      </c>
      <c r="C21" s="6" t="s">
        <v>26</v>
      </c>
      <c r="D21" s="12" t="n">
        <v>1602.86</v>
      </c>
      <c r="E21" s="12"/>
      <c r="F21" s="45"/>
    </row>
    <row r="22" customFormat="false" ht="17.25" hidden="false" customHeight="false" outlineLevel="0" collapsed="false">
      <c r="B22" s="10" t="n">
        <v>3</v>
      </c>
      <c r="C22" s="6" t="s">
        <v>27</v>
      </c>
      <c r="D22" s="77" t="s">
        <v>159</v>
      </c>
      <c r="E22" s="77"/>
      <c r="F22" s="45"/>
    </row>
    <row r="23" customFormat="false" ht="17.25" hidden="false" customHeight="false" outlineLevel="0" collapsed="false">
      <c r="B23" s="10" t="n">
        <v>4</v>
      </c>
      <c r="C23" s="6" t="s">
        <v>28</v>
      </c>
      <c r="D23" s="13" t="n">
        <v>42736</v>
      </c>
      <c r="E23" s="13"/>
      <c r="F23" s="45"/>
    </row>
    <row r="24" customFormat="false" ht="17.25" hidden="false" customHeight="false" outlineLevel="0" collapsed="false">
      <c r="B24" s="2" t="s">
        <v>29</v>
      </c>
      <c r="C24" s="2"/>
      <c r="D24" s="2"/>
      <c r="E24" s="2"/>
      <c r="F24" s="45"/>
    </row>
    <row r="25" customFormat="false" ht="17.25" hidden="false" customHeight="false" outlineLevel="0" collapsed="false">
      <c r="B25" s="2" t="n">
        <v>1</v>
      </c>
      <c r="C25" s="2" t="s">
        <v>30</v>
      </c>
      <c r="D25" s="10" t="s">
        <v>31</v>
      </c>
      <c r="E25" s="14" t="s">
        <v>32</v>
      </c>
      <c r="F25" s="81"/>
    </row>
    <row r="26" customFormat="false" ht="17.25" hidden="false" customHeight="false" outlineLevel="0" collapsed="false">
      <c r="B26" s="10" t="s">
        <v>6</v>
      </c>
      <c r="C26" s="6" t="s">
        <v>33</v>
      </c>
      <c r="D26" s="6"/>
      <c r="E26" s="15" t="n">
        <f aca="false">D21</f>
        <v>1602.86</v>
      </c>
      <c r="F26" s="45"/>
    </row>
    <row r="27" customFormat="false" ht="17.25" hidden="false" customHeight="false" outlineLevel="0" collapsed="false">
      <c r="B27" s="10" t="s">
        <v>8</v>
      </c>
      <c r="C27" s="6" t="s">
        <v>34</v>
      </c>
      <c r="D27" s="17" t="n">
        <v>0.3</v>
      </c>
      <c r="E27" s="15" t="n">
        <f aca="false">E26*0.3</f>
        <v>480.858</v>
      </c>
      <c r="F27" s="45"/>
    </row>
    <row r="28" customFormat="false" ht="17.25" hidden="false" customHeight="false" outlineLevel="0" collapsed="false">
      <c r="B28" s="10" t="s">
        <v>11</v>
      </c>
      <c r="C28" s="6" t="s">
        <v>35</v>
      </c>
      <c r="D28" s="17" t="n">
        <v>0.6</v>
      </c>
      <c r="E28" s="15" t="n">
        <f aca="false">(E26+E27)/220*1.6*15</f>
        <v>227.314690909091</v>
      </c>
      <c r="F28" s="45"/>
    </row>
    <row r="29" customFormat="false" ht="15.9" hidden="false" customHeight="false" outlineLevel="0" collapsed="false">
      <c r="B29" s="10" t="s">
        <v>14</v>
      </c>
      <c r="C29" s="6" t="s">
        <v>36</v>
      </c>
      <c r="D29" s="17" t="n">
        <v>0.4</v>
      </c>
      <c r="E29" s="15" t="n">
        <f aca="false">(E26+E27)/220*0.4*8*15</f>
        <v>454.629381818182</v>
      </c>
      <c r="F29" s="27"/>
    </row>
    <row r="30" customFormat="false" ht="15.25" hidden="false" customHeight="false" outlineLevel="0" collapsed="false">
      <c r="B30" s="10" t="s">
        <v>37</v>
      </c>
      <c r="C30" s="6" t="s">
        <v>38</v>
      </c>
      <c r="D30" s="6" t="n">
        <v>16</v>
      </c>
      <c r="E30" s="15" t="n">
        <f aca="false">(E26+E27)*2/220*8</f>
        <v>151.543127272727</v>
      </c>
      <c r="F30" s="82"/>
    </row>
    <row r="31" customFormat="false" ht="15.9" hidden="false" customHeight="false" outlineLevel="0" collapsed="false">
      <c r="B31" s="10" t="s">
        <v>39</v>
      </c>
      <c r="C31" s="6" t="s">
        <v>40</v>
      </c>
      <c r="D31" s="19"/>
      <c r="E31" s="15" t="n">
        <f aca="false">(E28+E29+E30)*5/25</f>
        <v>166.69744</v>
      </c>
      <c r="F31" s="45"/>
    </row>
    <row r="32" customFormat="false" ht="17.25" hidden="false" customHeight="false" outlineLevel="0" collapsed="false">
      <c r="B32" s="20" t="s">
        <v>41</v>
      </c>
      <c r="C32" s="20"/>
      <c r="D32" s="20"/>
      <c r="E32" s="21" t="n">
        <f aca="false">SUM(E26:E31)</f>
        <v>3083.90264</v>
      </c>
      <c r="F32" s="83"/>
    </row>
    <row r="33" customFormat="false" ht="17.25" hidden="false" customHeight="false" outlineLevel="0" collapsed="false">
      <c r="B33" s="2" t="s">
        <v>42</v>
      </c>
      <c r="C33" s="2"/>
      <c r="D33" s="2"/>
      <c r="E33" s="2"/>
      <c r="F33" s="45"/>
    </row>
    <row r="34" customFormat="false" ht="17.25" hidden="false" customHeight="false" outlineLevel="0" collapsed="false">
      <c r="B34" s="2" t="n">
        <v>2</v>
      </c>
      <c r="C34" s="2" t="s">
        <v>43</v>
      </c>
      <c r="D34" s="10"/>
      <c r="E34" s="2" t="s">
        <v>32</v>
      </c>
      <c r="F34" s="45"/>
    </row>
    <row r="35" customFormat="false" ht="15.25" hidden="false" customHeight="false" outlineLevel="0" collapsed="false">
      <c r="B35" s="10" t="s">
        <v>6</v>
      </c>
      <c r="C35" s="6" t="s">
        <v>44</v>
      </c>
      <c r="D35" s="23"/>
      <c r="E35" s="24" t="n">
        <f aca="false">'Equipamentos JK (Carro)'!H108</f>
        <v>160.714285714286</v>
      </c>
      <c r="F35" s="84" t="s">
        <v>158</v>
      </c>
    </row>
    <row r="36" customFormat="false" ht="15.9" hidden="false" customHeight="false" outlineLevel="0" collapsed="false">
      <c r="B36" s="10" t="s">
        <v>8</v>
      </c>
      <c r="C36" s="6" t="s">
        <v>45</v>
      </c>
      <c r="D36" s="23" t="n">
        <v>15.99</v>
      </c>
      <c r="E36" s="24" t="n">
        <f aca="false">D36*0.9*15</f>
        <v>215.865</v>
      </c>
      <c r="F36" s="85" t="n">
        <v>15</v>
      </c>
    </row>
    <row r="37" customFormat="false" ht="15.25" hidden="false" customHeight="false" outlineLevel="0" collapsed="false">
      <c r="B37" s="10" t="s">
        <v>11</v>
      </c>
      <c r="C37" s="6" t="s">
        <v>46</v>
      </c>
      <c r="D37" s="23"/>
      <c r="E37" s="23" t="n">
        <v>112.9</v>
      </c>
      <c r="F37" s="81"/>
    </row>
    <row r="38" customFormat="false" ht="15.9" hidden="false" customHeight="false" outlineLevel="0" collapsed="false">
      <c r="B38" s="10" t="s">
        <v>14</v>
      </c>
      <c r="C38" s="6" t="s">
        <v>47</v>
      </c>
      <c r="D38" s="6"/>
      <c r="E38" s="23" t="n">
        <v>91.08</v>
      </c>
      <c r="F38" s="81"/>
    </row>
    <row r="39" customFormat="false" ht="15.25" hidden="false" customHeight="false" outlineLevel="0" collapsed="false">
      <c r="B39" s="10" t="s">
        <v>37</v>
      </c>
      <c r="C39" s="6" t="s">
        <v>48</v>
      </c>
      <c r="D39" s="23"/>
      <c r="E39" s="23" t="n">
        <f aca="false">'Média Insumos e benefícios'!E6</f>
        <v>19.0666666666667</v>
      </c>
      <c r="F39" s="81"/>
    </row>
    <row r="40" customFormat="false" ht="17.25" hidden="false" customHeight="false" outlineLevel="0" collapsed="false">
      <c r="B40" s="10" t="s">
        <v>39</v>
      </c>
      <c r="C40" s="6" t="s">
        <v>49</v>
      </c>
      <c r="D40" s="23"/>
      <c r="E40" s="23"/>
      <c r="F40" s="81"/>
    </row>
    <row r="41" customFormat="false" ht="17.25" hidden="false" customHeight="false" outlineLevel="0" collapsed="false">
      <c r="B41" s="20" t="s">
        <v>50</v>
      </c>
      <c r="C41" s="20"/>
      <c r="D41" s="20"/>
      <c r="E41" s="21" t="n">
        <f aca="false">SUM(E35:E40)</f>
        <v>599.625952380952</v>
      </c>
      <c r="F41" s="45"/>
    </row>
    <row r="42" customFormat="false" ht="15.9" hidden="false" customHeight="false" outlineLevel="0" collapsed="false">
      <c r="B42" s="2" t="s">
        <v>51</v>
      </c>
      <c r="C42" s="2"/>
      <c r="D42" s="2"/>
      <c r="E42" s="2"/>
      <c r="F42" s="86"/>
    </row>
    <row r="43" customFormat="false" ht="17.25" hidden="false" customHeight="false" outlineLevel="0" collapsed="false">
      <c r="B43" s="2" t="n">
        <v>3</v>
      </c>
      <c r="C43" s="2" t="s">
        <v>52</v>
      </c>
      <c r="D43" s="10" t="s">
        <v>31</v>
      </c>
      <c r="E43" s="2" t="s">
        <v>32</v>
      </c>
      <c r="F43" s="86"/>
    </row>
    <row r="44" customFormat="false" ht="15.9" hidden="false" customHeight="false" outlineLevel="0" collapsed="false">
      <c r="B44" s="10" t="s">
        <v>6</v>
      </c>
      <c r="C44" s="6" t="s">
        <v>53</v>
      </c>
      <c r="D44" s="6"/>
      <c r="E44" s="23" t="n">
        <f aca="false">'Equipamentos JK (Carro)'!H106</f>
        <v>172.134166666667</v>
      </c>
      <c r="F44" s="86"/>
    </row>
    <row r="45" customFormat="false" ht="15.25" hidden="false" customHeight="false" outlineLevel="0" collapsed="false">
      <c r="B45" s="10" t="s">
        <v>8</v>
      </c>
      <c r="C45" s="6" t="s">
        <v>54</v>
      </c>
      <c r="D45" s="6"/>
      <c r="E45" s="23" t="n">
        <f aca="false">'Equipamentos JK (Carro)'!H104</f>
        <v>14.2225125081222</v>
      </c>
      <c r="F45" s="86"/>
    </row>
    <row r="46" customFormat="false" ht="15.25" hidden="false" customHeight="false" outlineLevel="0" collapsed="false">
      <c r="B46" s="10" t="s">
        <v>11</v>
      </c>
      <c r="C46" s="6" t="s">
        <v>55</v>
      </c>
      <c r="D46" s="6"/>
      <c r="E46" s="23"/>
      <c r="F46" s="45"/>
    </row>
    <row r="47" customFormat="false" ht="15.25" hidden="false" customHeight="false" outlineLevel="0" collapsed="false">
      <c r="B47" s="10" t="s">
        <v>14</v>
      </c>
      <c r="C47" s="6" t="s">
        <v>56</v>
      </c>
      <c r="D47" s="6"/>
      <c r="E47" s="23" t="n">
        <v>4</v>
      </c>
      <c r="F47" s="45"/>
    </row>
    <row r="48" customFormat="false" ht="15.25" hidden="false" customHeight="false" outlineLevel="0" collapsed="false">
      <c r="B48" s="10" t="s">
        <v>37</v>
      </c>
      <c r="C48" s="6" t="s">
        <v>149</v>
      </c>
      <c r="D48" s="6"/>
      <c r="E48" s="23" t="n">
        <f aca="false">'Equipamentos JK (Carro)'!H95</f>
        <v>201.65546875</v>
      </c>
      <c r="F48" s="45"/>
    </row>
    <row r="49" customFormat="false" ht="15.25" hidden="false" customHeight="false" outlineLevel="0" collapsed="false">
      <c r="B49" s="10" t="s">
        <v>39</v>
      </c>
      <c r="C49" s="6" t="s">
        <v>150</v>
      </c>
      <c r="D49" s="6"/>
      <c r="E49" s="23" t="n">
        <f aca="false">'Equipamentos JK (Carro)'!H99</f>
        <v>308.25</v>
      </c>
      <c r="F49" s="45"/>
    </row>
    <row r="50" customFormat="false" ht="15.25" hidden="false" customHeight="false" outlineLevel="0" collapsed="false">
      <c r="B50" s="10" t="s">
        <v>69</v>
      </c>
      <c r="C50" s="6" t="s">
        <v>57</v>
      </c>
      <c r="D50" s="6"/>
      <c r="E50" s="23" t="n">
        <f aca="false">'Média Insumos e benefícios'!K14</f>
        <v>128.666666666667</v>
      </c>
      <c r="F50" s="45"/>
    </row>
    <row r="51" customFormat="false" ht="15.25" hidden="false" customHeight="false" outlineLevel="0" collapsed="false">
      <c r="B51" s="20" t="s">
        <v>58</v>
      </c>
      <c r="C51" s="20"/>
      <c r="D51" s="20"/>
      <c r="E51" s="33" t="n">
        <f aca="false">SUM(E44:E50)</f>
        <v>828.928814591455</v>
      </c>
      <c r="F51" s="81"/>
    </row>
    <row r="52" customFormat="false" ht="15.25" hidden="false" customHeight="false" outlineLevel="0" collapsed="false">
      <c r="B52" s="2" t="s">
        <v>59</v>
      </c>
      <c r="C52" s="2"/>
      <c r="D52" s="2"/>
      <c r="E52" s="2"/>
      <c r="F52" s="45"/>
    </row>
    <row r="53" customFormat="false" ht="17.25" hidden="false" customHeight="false" outlineLevel="0" collapsed="false">
      <c r="B53" s="34" t="s">
        <v>60</v>
      </c>
      <c r="C53" s="34"/>
      <c r="D53" s="34"/>
      <c r="E53" s="34"/>
      <c r="F53" s="45"/>
    </row>
    <row r="54" customFormat="false" ht="15.25" hidden="false" customHeight="false" outlineLevel="0" collapsed="false">
      <c r="B54" s="2" t="s">
        <v>61</v>
      </c>
      <c r="C54" s="2" t="s">
        <v>62</v>
      </c>
      <c r="D54" s="10" t="s">
        <v>31</v>
      </c>
      <c r="E54" s="2" t="s">
        <v>32</v>
      </c>
      <c r="F54" s="40"/>
    </row>
    <row r="55" customFormat="false" ht="17.25" hidden="false" customHeight="false" outlineLevel="0" collapsed="false">
      <c r="B55" s="10" t="s">
        <v>6</v>
      </c>
      <c r="C55" s="6" t="s">
        <v>63</v>
      </c>
      <c r="D55" s="35" t="n">
        <v>0.2</v>
      </c>
      <c r="E55" s="24" t="n">
        <f aca="false">$E$32*D55</f>
        <v>616.780528</v>
      </c>
      <c r="F55" s="87"/>
    </row>
    <row r="56" customFormat="false" ht="17.25" hidden="false" customHeight="false" outlineLevel="0" collapsed="false">
      <c r="B56" s="10" t="s">
        <v>8</v>
      </c>
      <c r="C56" s="6" t="s">
        <v>64</v>
      </c>
      <c r="D56" s="35" t="n">
        <v>0.015</v>
      </c>
      <c r="E56" s="24" t="n">
        <f aca="false">$E$32*D56</f>
        <v>46.2585396</v>
      </c>
      <c r="F56" s="87"/>
    </row>
    <row r="57" customFormat="false" ht="17.25" hidden="false" customHeight="false" outlineLevel="0" collapsed="false">
      <c r="B57" s="10" t="s">
        <v>11</v>
      </c>
      <c r="C57" s="6" t="s">
        <v>65</v>
      </c>
      <c r="D57" s="35" t="n">
        <v>0.01</v>
      </c>
      <c r="E57" s="24" t="n">
        <f aca="false">$E$32*D57</f>
        <v>30.8390264</v>
      </c>
      <c r="F57" s="87"/>
    </row>
    <row r="58" customFormat="false" ht="17.25" hidden="false" customHeight="false" outlineLevel="0" collapsed="false">
      <c r="B58" s="10" t="s">
        <v>14</v>
      </c>
      <c r="C58" s="6" t="s">
        <v>66</v>
      </c>
      <c r="D58" s="35" t="n">
        <v>0.002</v>
      </c>
      <c r="E58" s="24" t="n">
        <f aca="false">$E$32*D58</f>
        <v>6.16780528</v>
      </c>
      <c r="F58" s="87"/>
    </row>
    <row r="59" customFormat="false" ht="17.25" hidden="false" customHeight="false" outlineLevel="0" collapsed="false">
      <c r="B59" s="10" t="s">
        <v>37</v>
      </c>
      <c r="C59" s="6" t="s">
        <v>67</v>
      </c>
      <c r="D59" s="35" t="n">
        <v>0.025</v>
      </c>
      <c r="E59" s="24" t="n">
        <f aca="false">$E$32*D59</f>
        <v>77.097566</v>
      </c>
      <c r="F59" s="87"/>
    </row>
    <row r="60" customFormat="false" ht="17.25" hidden="false" customHeight="false" outlineLevel="0" collapsed="false">
      <c r="B60" s="10" t="s">
        <v>39</v>
      </c>
      <c r="C60" s="6" t="s">
        <v>68</v>
      </c>
      <c r="D60" s="35" t="n">
        <v>0.08</v>
      </c>
      <c r="E60" s="24" t="n">
        <f aca="false">$E$32*D60</f>
        <v>246.7122112</v>
      </c>
      <c r="F60" s="87"/>
    </row>
    <row r="61" customFormat="false" ht="17.25" hidden="false" customHeight="false" outlineLevel="0" collapsed="false">
      <c r="B61" s="10" t="s">
        <v>69</v>
      </c>
      <c r="C61" s="6" t="s">
        <v>70</v>
      </c>
      <c r="D61" s="35" t="n">
        <v>0.03</v>
      </c>
      <c r="E61" s="24" t="n">
        <f aca="false">$E$32*D61</f>
        <v>92.5170792</v>
      </c>
      <c r="F61" s="87"/>
    </row>
    <row r="62" customFormat="false" ht="15.9" hidden="false" customHeight="false" outlineLevel="0" collapsed="false">
      <c r="B62" s="10" t="s">
        <v>71</v>
      </c>
      <c r="C62" s="6" t="s">
        <v>72</v>
      </c>
      <c r="D62" s="35" t="n">
        <v>0.006</v>
      </c>
      <c r="E62" s="24" t="n">
        <f aca="false">$E$32*D62</f>
        <v>18.50341584</v>
      </c>
      <c r="F62" s="87"/>
    </row>
    <row r="63" customFormat="false" ht="17.25" hidden="false" customHeight="false" outlineLevel="0" collapsed="false">
      <c r="B63" s="20" t="s">
        <v>73</v>
      </c>
      <c r="C63" s="20"/>
      <c r="D63" s="38" t="n">
        <v>0.368</v>
      </c>
      <c r="E63" s="21" t="n">
        <f aca="false">$E$32*D63</f>
        <v>1134.87617152</v>
      </c>
      <c r="F63" s="87"/>
    </row>
    <row r="64" customFormat="false" ht="17.25" hidden="false" customHeight="false" outlineLevel="0" collapsed="false">
      <c r="B64" s="34" t="s">
        <v>74</v>
      </c>
      <c r="C64" s="34"/>
      <c r="D64" s="34"/>
      <c r="E64" s="34"/>
      <c r="F64" s="30"/>
    </row>
    <row r="65" customFormat="false" ht="17.25" hidden="false" customHeight="false" outlineLevel="0" collapsed="false">
      <c r="B65" s="2" t="s">
        <v>75</v>
      </c>
      <c r="C65" s="34" t="s">
        <v>76</v>
      </c>
      <c r="D65" s="10" t="s">
        <v>31</v>
      </c>
      <c r="E65" s="2" t="s">
        <v>32</v>
      </c>
      <c r="F65" s="40"/>
    </row>
    <row r="66" customFormat="false" ht="17.25" hidden="false" customHeight="false" outlineLevel="0" collapsed="false">
      <c r="B66" s="10" t="s">
        <v>6</v>
      </c>
      <c r="C66" s="6" t="s">
        <v>77</v>
      </c>
      <c r="D66" s="41" t="n">
        <v>0.0833</v>
      </c>
      <c r="E66" s="24" t="n">
        <f aca="false">$E$32*D66</f>
        <v>256.889089912</v>
      </c>
      <c r="F66" s="88"/>
    </row>
    <row r="67" customFormat="false" ht="19.1" hidden="false" customHeight="true" outlineLevel="0" collapsed="false">
      <c r="B67" s="10" t="s">
        <v>8</v>
      </c>
      <c r="C67" s="7" t="s">
        <v>78</v>
      </c>
      <c r="D67" s="41" t="n">
        <f aca="false">D66*D63</f>
        <v>0.0306544</v>
      </c>
      <c r="E67" s="24" t="n">
        <f aca="false">$E$32*D67</f>
        <v>94.535185087616</v>
      </c>
      <c r="F67" s="88"/>
    </row>
    <row r="68" customFormat="false" ht="17.25" hidden="false" customHeight="false" outlineLevel="0" collapsed="false">
      <c r="B68" s="20" t="s">
        <v>73</v>
      </c>
      <c r="C68" s="20"/>
      <c r="D68" s="41" t="n">
        <v>0.1139544</v>
      </c>
      <c r="E68" s="21" t="n">
        <f aca="false">$E$32*D68</f>
        <v>351.424274999616</v>
      </c>
      <c r="F68" s="88"/>
    </row>
    <row r="69" customFormat="false" ht="17.25" hidden="false" customHeight="false" outlineLevel="0" collapsed="false">
      <c r="B69" s="34" t="s">
        <v>79</v>
      </c>
      <c r="C69" s="34"/>
      <c r="D69" s="34"/>
      <c r="E69" s="34"/>
      <c r="F69" s="45"/>
    </row>
    <row r="70" customFormat="false" ht="17.25" hidden="false" customHeight="false" outlineLevel="0" collapsed="false">
      <c r="B70" s="2" t="s">
        <v>80</v>
      </c>
      <c r="C70" s="2" t="s">
        <v>81</v>
      </c>
      <c r="D70" s="10" t="s">
        <v>31</v>
      </c>
      <c r="E70" s="2" t="s">
        <v>32</v>
      </c>
      <c r="F70" s="40"/>
    </row>
    <row r="71" customFormat="false" ht="17.25" hidden="false" customHeight="false" outlineLevel="0" collapsed="false">
      <c r="B71" s="10" t="s">
        <v>6</v>
      </c>
      <c r="C71" s="6" t="s">
        <v>81</v>
      </c>
      <c r="D71" s="44" t="n">
        <v>0.00074</v>
      </c>
      <c r="E71" s="24" t="n">
        <f aca="false">$E$32*D71</f>
        <v>2.2820879536</v>
      </c>
      <c r="F71" s="88"/>
    </row>
    <row r="72" customFormat="false" ht="19.1" hidden="false" customHeight="true" outlineLevel="0" collapsed="false">
      <c r="B72" s="10" t="s">
        <v>8</v>
      </c>
      <c r="C72" s="7" t="s">
        <v>82</v>
      </c>
      <c r="D72" s="44" t="n">
        <f aca="false">D71*D63</f>
        <v>0.00027232</v>
      </c>
      <c r="E72" s="24" t="n">
        <f aca="false">$E$32*D72</f>
        <v>0.8398083669248</v>
      </c>
      <c r="F72" s="88"/>
    </row>
    <row r="73" customFormat="false" ht="17.25" hidden="false" customHeight="false" outlineLevel="0" collapsed="false">
      <c r="B73" s="20" t="s">
        <v>73</v>
      </c>
      <c r="C73" s="20"/>
      <c r="D73" s="46" t="n">
        <v>0.00104</v>
      </c>
      <c r="E73" s="21" t="n">
        <f aca="false">$E$32*D73</f>
        <v>3.2072587456</v>
      </c>
      <c r="F73" s="88"/>
    </row>
    <row r="74" customFormat="false" ht="17.25" hidden="false" customHeight="false" outlineLevel="0" collapsed="false">
      <c r="B74" s="34" t="s">
        <v>83</v>
      </c>
      <c r="C74" s="34"/>
      <c r="D74" s="34"/>
      <c r="E74" s="34"/>
      <c r="F74" s="45"/>
    </row>
    <row r="75" customFormat="false" ht="17.25" hidden="false" customHeight="false" outlineLevel="0" collapsed="false">
      <c r="B75" s="2" t="s">
        <v>84</v>
      </c>
      <c r="C75" s="2" t="s">
        <v>85</v>
      </c>
      <c r="D75" s="10" t="s">
        <v>31</v>
      </c>
      <c r="E75" s="2" t="s">
        <v>32</v>
      </c>
      <c r="F75" s="40"/>
    </row>
    <row r="76" customFormat="false" ht="17.25" hidden="false" customHeight="false" outlineLevel="0" collapsed="false">
      <c r="B76" s="10" t="s">
        <v>6</v>
      </c>
      <c r="C76" s="6" t="s">
        <v>86</v>
      </c>
      <c r="D76" s="41" t="n">
        <v>0.00416666666666667</v>
      </c>
      <c r="E76" s="24" t="n">
        <f aca="false">$E$32*D76</f>
        <v>12.8495943333333</v>
      </c>
      <c r="F76" s="88"/>
    </row>
    <row r="77" customFormat="false" ht="19.1" hidden="false" customHeight="true" outlineLevel="0" collapsed="false">
      <c r="B77" s="10" t="s">
        <v>8</v>
      </c>
      <c r="C77" s="7" t="s">
        <v>87</v>
      </c>
      <c r="D77" s="41" t="n">
        <v>0.000333333333333333</v>
      </c>
      <c r="E77" s="24" t="n">
        <f aca="false">$E$32*D77</f>
        <v>1.02796754666667</v>
      </c>
      <c r="F77" s="88"/>
    </row>
    <row r="78" customFormat="false" ht="17.25" hidden="false" customHeight="false" outlineLevel="0" collapsed="false">
      <c r="B78" s="10" t="s">
        <v>11</v>
      </c>
      <c r="C78" s="6" t="s">
        <v>88</v>
      </c>
      <c r="D78" s="41" t="n">
        <v>0.043</v>
      </c>
      <c r="E78" s="24" t="n">
        <f aca="false">$E$32*D78</f>
        <v>132.60781352</v>
      </c>
      <c r="F78" s="88"/>
    </row>
    <row r="79" customFormat="false" ht="17.25" hidden="false" customHeight="false" outlineLevel="0" collapsed="false">
      <c r="B79" s="10" t="s">
        <v>14</v>
      </c>
      <c r="C79" s="6" t="s">
        <v>89</v>
      </c>
      <c r="D79" s="47" t="n">
        <v>0.0194444444444444</v>
      </c>
      <c r="E79" s="24" t="n">
        <f aca="false">$E$32*D79</f>
        <v>59.9647735555554</v>
      </c>
      <c r="F79" s="89"/>
    </row>
    <row r="80" customFormat="false" ht="22.95" hidden="false" customHeight="true" outlineLevel="0" collapsed="false">
      <c r="B80" s="10" t="s">
        <v>37</v>
      </c>
      <c r="C80" s="7" t="s">
        <v>90</v>
      </c>
      <c r="D80" s="41" t="n">
        <v>0.00715555555555556</v>
      </c>
      <c r="E80" s="24" t="n">
        <f aca="false">$E$32*D80</f>
        <v>22.0670366684445</v>
      </c>
      <c r="F80" s="88"/>
    </row>
    <row r="81" customFormat="false" ht="17.25" hidden="false" customHeight="false" outlineLevel="0" collapsed="false">
      <c r="B81" s="10" t="s">
        <v>39</v>
      </c>
      <c r="C81" s="6" t="s">
        <v>91</v>
      </c>
      <c r="D81" s="41" t="n">
        <v>0.000776</v>
      </c>
      <c r="E81" s="24" t="n">
        <f aca="false">$E$32*D81</f>
        <v>2.39310844864</v>
      </c>
      <c r="F81" s="88"/>
    </row>
    <row r="82" customFormat="false" ht="17.25" hidden="false" customHeight="false" outlineLevel="0" collapsed="false">
      <c r="B82" s="20" t="s">
        <v>73</v>
      </c>
      <c r="C82" s="20"/>
      <c r="D82" s="41" t="n">
        <v>0.074876</v>
      </c>
      <c r="E82" s="21" t="n">
        <f aca="false">$E$32*D82</f>
        <v>230.91029407264</v>
      </c>
      <c r="F82" s="88"/>
    </row>
    <row r="83" customFormat="false" ht="17.25" hidden="false" customHeight="false" outlineLevel="0" collapsed="false">
      <c r="B83" s="34" t="s">
        <v>92</v>
      </c>
      <c r="C83" s="34"/>
      <c r="D83" s="34"/>
      <c r="E83" s="34"/>
      <c r="F83" s="45"/>
    </row>
    <row r="84" customFormat="false" ht="32.5" hidden="false" customHeight="true" outlineLevel="0" collapsed="false">
      <c r="B84" s="2" t="s">
        <v>93</v>
      </c>
      <c r="C84" s="14" t="s">
        <v>94</v>
      </c>
      <c r="D84" s="48" t="s">
        <v>31</v>
      </c>
      <c r="E84" s="2" t="s">
        <v>32</v>
      </c>
      <c r="F84" s="90"/>
    </row>
    <row r="85" customFormat="false" ht="17.25" hidden="false" customHeight="false" outlineLevel="0" collapsed="false">
      <c r="B85" s="10" t="s">
        <v>6</v>
      </c>
      <c r="C85" s="6" t="s">
        <v>95</v>
      </c>
      <c r="D85" s="49" t="n">
        <v>0.1111</v>
      </c>
      <c r="E85" s="24" t="n">
        <f aca="false">$E$32*D85</f>
        <v>342.621583304</v>
      </c>
      <c r="F85" s="88"/>
    </row>
    <row r="86" customFormat="false" ht="17.25" hidden="false" customHeight="false" outlineLevel="0" collapsed="false">
      <c r="B86" s="10" t="s">
        <v>8</v>
      </c>
      <c r="C86" s="6" t="s">
        <v>96</v>
      </c>
      <c r="D86" s="49" t="n">
        <v>0.0166</v>
      </c>
      <c r="E86" s="24" t="n">
        <f aca="false">$E$32*D86</f>
        <v>51.192783824</v>
      </c>
      <c r="F86" s="90"/>
    </row>
    <row r="87" customFormat="false" ht="17.25" hidden="false" customHeight="false" outlineLevel="0" collapsed="false">
      <c r="B87" s="10" t="s">
        <v>11</v>
      </c>
      <c r="C87" s="6" t="s">
        <v>97</v>
      </c>
      <c r="D87" s="49" t="n">
        <v>0.0002</v>
      </c>
      <c r="E87" s="24" t="n">
        <f aca="false">$E$32*D87</f>
        <v>0.616780528</v>
      </c>
      <c r="F87" s="90"/>
    </row>
    <row r="88" customFormat="false" ht="17.25" hidden="false" customHeight="false" outlineLevel="0" collapsed="false">
      <c r="B88" s="10" t="s">
        <v>14</v>
      </c>
      <c r="C88" s="6" t="s">
        <v>98</v>
      </c>
      <c r="D88" s="49" t="n">
        <v>0.0028</v>
      </c>
      <c r="E88" s="24" t="n">
        <f aca="false">$E$32*D88</f>
        <v>8.634927392</v>
      </c>
      <c r="F88" s="90"/>
    </row>
    <row r="89" customFormat="false" ht="17.25" hidden="false" customHeight="false" outlineLevel="0" collapsed="false">
      <c r="B89" s="10" t="s">
        <v>37</v>
      </c>
      <c r="C89" s="6" t="s">
        <v>99</v>
      </c>
      <c r="D89" s="49" t="n">
        <v>0.0003</v>
      </c>
      <c r="E89" s="24" t="n">
        <f aca="false">$E$32*D89</f>
        <v>0.925170792</v>
      </c>
      <c r="F89" s="90"/>
    </row>
    <row r="90" customFormat="false" ht="17.25" hidden="false" customHeight="false" outlineLevel="0" collapsed="false">
      <c r="B90" s="10" t="s">
        <v>39</v>
      </c>
      <c r="C90" s="6" t="s">
        <v>100</v>
      </c>
      <c r="D90" s="49"/>
      <c r="E90" s="24"/>
      <c r="F90" s="90"/>
    </row>
    <row r="91" customFormat="false" ht="17.25" hidden="false" customHeight="false" outlineLevel="0" collapsed="false">
      <c r="B91" s="34" t="s">
        <v>101</v>
      </c>
      <c r="C91" s="34"/>
      <c r="D91" s="53" t="n">
        <v>0.131</v>
      </c>
      <c r="E91" s="21" t="n">
        <f aca="false">$E$32*D91</f>
        <v>403.99124584</v>
      </c>
      <c r="F91" s="90"/>
    </row>
    <row r="92" customFormat="false" ht="23.9" hidden="false" customHeight="true" outlineLevel="0" collapsed="false">
      <c r="B92" s="10" t="s">
        <v>69</v>
      </c>
      <c r="C92" s="54" t="s">
        <v>102</v>
      </c>
      <c r="D92" s="49" t="n">
        <v>0.048208</v>
      </c>
      <c r="E92" s="24" t="n">
        <f aca="false">$E$32*D92</f>
        <v>148.66877846912</v>
      </c>
      <c r="F92" s="90"/>
    </row>
    <row r="93" customFormat="false" ht="17.25" hidden="false" customHeight="false" outlineLevel="0" collapsed="false">
      <c r="B93" s="20" t="s">
        <v>73</v>
      </c>
      <c r="C93" s="20"/>
      <c r="D93" s="53" t="n">
        <v>0.179208</v>
      </c>
      <c r="E93" s="21" t="n">
        <f aca="false">$E$32*D93</f>
        <v>552.66002430912</v>
      </c>
      <c r="F93" s="90"/>
    </row>
    <row r="94" customFormat="false" ht="30.6" hidden="false" customHeight="true" outlineLevel="0" collapsed="false">
      <c r="B94" s="14" t="s">
        <v>103</v>
      </c>
      <c r="C94" s="14"/>
      <c r="D94" s="14"/>
      <c r="E94" s="14"/>
      <c r="F94" s="45"/>
    </row>
    <row r="95" customFormat="false" ht="17.25" hidden="false" customHeight="false" outlineLevel="0" collapsed="false">
      <c r="B95" s="2" t="n">
        <v>4</v>
      </c>
      <c r="C95" s="2" t="s">
        <v>104</v>
      </c>
      <c r="D95" s="10" t="s">
        <v>31</v>
      </c>
      <c r="E95" s="2" t="s">
        <v>32</v>
      </c>
      <c r="F95" s="45"/>
    </row>
    <row r="96" customFormat="false" ht="17.25" hidden="false" customHeight="false" outlineLevel="0" collapsed="false">
      <c r="B96" s="10" t="s">
        <v>105</v>
      </c>
      <c r="C96" s="6" t="s">
        <v>106</v>
      </c>
      <c r="D96" s="56" t="n">
        <v>0.368</v>
      </c>
      <c r="E96" s="24" t="n">
        <f aca="false">$E$32*D96</f>
        <v>1134.87617152</v>
      </c>
      <c r="F96" s="90"/>
    </row>
    <row r="97" customFormat="false" ht="17.25" hidden="false" customHeight="false" outlineLevel="0" collapsed="false">
      <c r="B97" s="10" t="s">
        <v>107</v>
      </c>
      <c r="C97" s="6" t="s">
        <v>108</v>
      </c>
      <c r="D97" s="56" t="n">
        <v>0.1139544</v>
      </c>
      <c r="E97" s="24" t="n">
        <f aca="false">$E$32*D97</f>
        <v>351.424274999616</v>
      </c>
      <c r="F97" s="88"/>
    </row>
    <row r="98" customFormat="false" ht="17.25" hidden="false" customHeight="false" outlineLevel="0" collapsed="false">
      <c r="B98" s="10" t="s">
        <v>109</v>
      </c>
      <c r="C98" s="6" t="s">
        <v>110</v>
      </c>
      <c r="D98" s="56" t="n">
        <v>0.00104</v>
      </c>
      <c r="E98" s="24" t="n">
        <f aca="false">$E$32*D98</f>
        <v>3.2072587456</v>
      </c>
      <c r="F98" s="88"/>
    </row>
    <row r="99" customFormat="false" ht="17.25" hidden="false" customHeight="false" outlineLevel="0" collapsed="false">
      <c r="B99" s="10" t="s">
        <v>111</v>
      </c>
      <c r="C99" s="6" t="s">
        <v>112</v>
      </c>
      <c r="D99" s="56" t="n">
        <v>0.074876</v>
      </c>
      <c r="E99" s="24" t="n">
        <f aca="false">$E$32*D99</f>
        <v>230.91029407264</v>
      </c>
      <c r="F99" s="90"/>
    </row>
    <row r="100" customFormat="false" ht="17.25" hidden="false" customHeight="false" outlineLevel="0" collapsed="false">
      <c r="B100" s="10" t="s">
        <v>113</v>
      </c>
      <c r="C100" s="6" t="s">
        <v>114</v>
      </c>
      <c r="D100" s="56" t="n">
        <v>0.179208</v>
      </c>
      <c r="E100" s="24" t="n">
        <f aca="false">$E$32*D100</f>
        <v>552.66002430912</v>
      </c>
      <c r="F100" s="90"/>
    </row>
    <row r="101" customFormat="false" ht="17.25" hidden="false" customHeight="false" outlineLevel="0" collapsed="false">
      <c r="B101" s="10" t="s">
        <v>115</v>
      </c>
      <c r="C101" s="6" t="s">
        <v>100</v>
      </c>
      <c r="D101" s="56"/>
      <c r="E101" s="24"/>
      <c r="F101" s="45"/>
    </row>
    <row r="102" customFormat="false" ht="17.25" hidden="false" customHeight="false" outlineLevel="0" collapsed="false">
      <c r="B102" s="20" t="s">
        <v>73</v>
      </c>
      <c r="C102" s="20"/>
      <c r="D102" s="57" t="n">
        <v>0.7370784</v>
      </c>
      <c r="E102" s="24" t="n">
        <f aca="false">$E$32*D102</f>
        <v>2273.07802364698</v>
      </c>
      <c r="F102" s="91"/>
    </row>
    <row r="103" customFormat="false" ht="17.25" hidden="false" customHeight="false" outlineLevel="0" collapsed="false">
      <c r="B103" s="2" t="s">
        <v>116</v>
      </c>
      <c r="C103" s="2"/>
      <c r="D103" s="2"/>
      <c r="E103" s="2"/>
      <c r="F103" s="45"/>
    </row>
    <row r="104" customFormat="false" ht="17.25" hidden="false" customHeight="false" outlineLevel="0" collapsed="false">
      <c r="B104" s="2" t="n">
        <v>5</v>
      </c>
      <c r="C104" s="2" t="s">
        <v>117</v>
      </c>
      <c r="D104" s="10" t="s">
        <v>31</v>
      </c>
      <c r="E104" s="2" t="s">
        <v>32</v>
      </c>
      <c r="F104" s="45"/>
    </row>
    <row r="105" customFormat="false" ht="17.25" hidden="false" customHeight="false" outlineLevel="0" collapsed="false">
      <c r="B105" s="10" t="s">
        <v>6</v>
      </c>
      <c r="C105" s="59" t="s">
        <v>118</v>
      </c>
      <c r="D105" s="38" t="n">
        <v>0.06</v>
      </c>
      <c r="E105" s="33" t="n">
        <f aca="false">E124*D105</f>
        <v>407.132125837163</v>
      </c>
      <c r="F105" s="81"/>
    </row>
    <row r="106" customFormat="false" ht="17.25" hidden="false" customHeight="false" outlineLevel="0" collapsed="false">
      <c r="B106" s="10" t="s">
        <v>8</v>
      </c>
      <c r="C106" s="59" t="s">
        <v>119</v>
      </c>
      <c r="D106" s="38" t="n">
        <v>0.0679</v>
      </c>
      <c r="E106" s="33" t="n">
        <f aca="false">(E124+E105)*D106</f>
        <v>488.3821270834</v>
      </c>
      <c r="F106" s="81"/>
    </row>
    <row r="107" customFormat="false" ht="17.25" hidden="false" customHeight="false" outlineLevel="0" collapsed="false">
      <c r="B107" s="10" t="s">
        <v>11</v>
      </c>
      <c r="C107" s="59" t="s">
        <v>120</v>
      </c>
      <c r="D107" s="6"/>
      <c r="E107" s="6"/>
      <c r="F107" s="45"/>
    </row>
    <row r="108" customFormat="false" ht="17.25" hidden="false" customHeight="false" outlineLevel="0" collapsed="false">
      <c r="B108" s="60" t="s">
        <v>121</v>
      </c>
      <c r="C108" s="6" t="s">
        <v>122</v>
      </c>
      <c r="D108" s="61" t="n">
        <v>3</v>
      </c>
      <c r="E108" s="62" t="n">
        <f aca="false">E126*D108/100</f>
        <v>252.251221134317</v>
      </c>
      <c r="F108" s="45"/>
    </row>
    <row r="109" customFormat="false" ht="17.25" hidden="false" customHeight="false" outlineLevel="0" collapsed="false">
      <c r="B109" s="60"/>
      <c r="C109" s="6" t="s">
        <v>123</v>
      </c>
      <c r="D109" s="61" t="n">
        <v>0.65</v>
      </c>
      <c r="E109" s="62" t="n">
        <f aca="false">E126*D109/100</f>
        <v>54.6544312457686</v>
      </c>
      <c r="F109" s="45"/>
    </row>
    <row r="110" customFormat="false" ht="17.25" hidden="false" customHeight="false" outlineLevel="0" collapsed="false">
      <c r="B110" s="60" t="s">
        <v>124</v>
      </c>
      <c r="C110" s="6" t="s">
        <v>125</v>
      </c>
      <c r="D110" s="61"/>
      <c r="E110" s="62"/>
      <c r="F110" s="45"/>
    </row>
    <row r="111" customFormat="false" ht="17.25" hidden="false" customHeight="false" outlineLevel="0" collapsed="false">
      <c r="B111" s="60" t="s">
        <v>126</v>
      </c>
      <c r="C111" s="6" t="s">
        <v>127</v>
      </c>
      <c r="D111" s="61" t="n">
        <v>5</v>
      </c>
      <c r="E111" s="62" t="n">
        <f aca="false">E126*D111/100</f>
        <v>420.418701890528</v>
      </c>
      <c r="F111" s="45"/>
    </row>
    <row r="112" customFormat="false" ht="17.25" hidden="false" customHeight="false" outlineLevel="0" collapsed="false">
      <c r="B112" s="60" t="s">
        <v>128</v>
      </c>
      <c r="C112" s="6" t="s">
        <v>129</v>
      </c>
      <c r="D112" s="38"/>
      <c r="E112" s="62"/>
      <c r="F112" s="45"/>
    </row>
    <row r="114" customFormat="false" ht="17.25" hidden="false" customHeight="false" outlineLevel="0" collapsed="false">
      <c r="B114" s="20" t="s">
        <v>130</v>
      </c>
      <c r="C114" s="20"/>
      <c r="D114" s="2" t="n">
        <v>11.25</v>
      </c>
      <c r="E114" s="33" t="n">
        <f aca="false">SUM(E105:E111)</f>
        <v>1622.83860719118</v>
      </c>
      <c r="F114" s="45"/>
    </row>
    <row r="115" customFormat="false" ht="17.25" hidden="false" customHeight="true" outlineLevel="0" collapsed="false">
      <c r="B115" s="65" t="s">
        <v>131</v>
      </c>
      <c r="C115" s="65"/>
      <c r="D115" s="66" t="n">
        <f aca="false">(1-(D108+D109+D111)/100)</f>
        <v>0.9135</v>
      </c>
      <c r="E115" s="67"/>
      <c r="F115" s="45"/>
    </row>
    <row r="116" customFormat="false" ht="25.8" hidden="false" customHeight="true" outlineLevel="0" collapsed="false">
      <c r="B116" s="65"/>
      <c r="C116" s="65"/>
      <c r="D116" s="68" t="n">
        <f aca="false">(E124+E105+E106)/D115</f>
        <v>8408.37403781056</v>
      </c>
      <c r="E116" s="69"/>
      <c r="F116" s="45"/>
    </row>
    <row r="117" customFormat="false" ht="17.25" hidden="false" customHeight="true" outlineLevel="0" collapsed="false">
      <c r="B117" s="4" t="s">
        <v>132</v>
      </c>
      <c r="C117" s="4"/>
      <c r="D117" s="33"/>
      <c r="E117" s="71"/>
      <c r="F117" s="81"/>
    </row>
    <row r="118" customFormat="false" ht="17.25" hidden="false" customHeight="true" outlineLevel="0" collapsed="false">
      <c r="B118" s="2" t="s">
        <v>133</v>
      </c>
      <c r="C118" s="2"/>
      <c r="D118" s="2"/>
      <c r="E118" s="2"/>
      <c r="F118" s="45"/>
    </row>
    <row r="119" customFormat="false" ht="44" hidden="false" customHeight="true" outlineLevel="0" collapsed="false">
      <c r="B119" s="2"/>
      <c r="C119" s="14" t="s">
        <v>134</v>
      </c>
      <c r="D119" s="14"/>
      <c r="E119" s="2" t="s">
        <v>32</v>
      </c>
      <c r="F119" s="45"/>
    </row>
    <row r="120" customFormat="false" ht="15.9" hidden="false" customHeight="false" outlineLevel="0" collapsed="false">
      <c r="B120" s="10" t="s">
        <v>6</v>
      </c>
      <c r="C120" s="34" t="s">
        <v>135</v>
      </c>
      <c r="D120" s="34"/>
      <c r="E120" s="71" t="n">
        <f aca="false">E32</f>
        <v>3083.90264</v>
      </c>
      <c r="F120" s="45"/>
    </row>
    <row r="121" customFormat="false" ht="17.25" hidden="false" customHeight="true" outlineLevel="0" collapsed="false">
      <c r="B121" s="10" t="s">
        <v>8</v>
      </c>
      <c r="C121" s="34" t="s">
        <v>136</v>
      </c>
      <c r="D121" s="34"/>
      <c r="E121" s="23" t="n">
        <f aca="false">E41</f>
        <v>599.625952380952</v>
      </c>
      <c r="F121" s="45"/>
    </row>
    <row r="122" customFormat="false" ht="15.9" hidden="false" customHeight="false" outlineLevel="0" collapsed="false">
      <c r="B122" s="10" t="s">
        <v>11</v>
      </c>
      <c r="C122" s="34" t="s">
        <v>137</v>
      </c>
      <c r="D122" s="34"/>
      <c r="E122" s="71" t="n">
        <f aca="false">E51</f>
        <v>828.928814591455</v>
      </c>
      <c r="F122" s="45"/>
    </row>
    <row r="123" customFormat="false" ht="17.25" hidden="false" customHeight="false" outlineLevel="0" collapsed="false">
      <c r="B123" s="10" t="s">
        <v>14</v>
      </c>
      <c r="C123" s="34" t="s">
        <v>138</v>
      </c>
      <c r="D123" s="34"/>
      <c r="E123" s="23" t="n">
        <f aca="false">E102</f>
        <v>2273.07802364698</v>
      </c>
      <c r="F123" s="45"/>
    </row>
    <row r="124" customFormat="false" ht="15.25" hidden="false" customHeight="false" outlineLevel="0" collapsed="false">
      <c r="B124" s="20" t="s">
        <v>139</v>
      </c>
      <c r="C124" s="20"/>
      <c r="D124" s="20"/>
      <c r="E124" s="72" t="n">
        <f aca="false">SUM(E120:E123)</f>
        <v>6785.53543061938</v>
      </c>
      <c r="F124" s="45"/>
    </row>
    <row r="125" customFormat="false" ht="17.25" hidden="false" customHeight="false" outlineLevel="0" collapsed="false">
      <c r="B125" s="10" t="s">
        <v>37</v>
      </c>
      <c r="C125" s="2" t="s">
        <v>140</v>
      </c>
      <c r="D125" s="2"/>
      <c r="E125" s="23" t="n">
        <f aca="false">E114</f>
        <v>1622.83860719118</v>
      </c>
      <c r="F125" s="45"/>
    </row>
    <row r="126" customFormat="false" ht="17.25" hidden="false" customHeight="false" outlineLevel="0" collapsed="false">
      <c r="B126" s="2" t="s">
        <v>141</v>
      </c>
      <c r="C126" s="2"/>
      <c r="D126" s="2"/>
      <c r="E126" s="73" t="n">
        <f aca="false">(E124+E105+E106)/(1-(D108+D109+D111)/100)</f>
        <v>8408.37403781056</v>
      </c>
      <c r="F126" s="45"/>
    </row>
    <row r="127" customFormat="false" ht="17.25" hidden="false" customHeight="false" outlineLevel="0" collapsed="false">
      <c r="B127" s="2" t="s">
        <v>142</v>
      </c>
      <c r="C127" s="2"/>
      <c r="D127" s="2"/>
      <c r="E127" s="73" t="n">
        <f aca="false">E126*2</f>
        <v>16816.7480756211</v>
      </c>
      <c r="F127" s="45"/>
    </row>
    <row r="1048573" customFormat="false" ht="12.85" hidden="false" customHeight="false" outlineLevel="0" collapsed="false"/>
    <row r="1048574" customFormat="false" ht="12.85" hidden="false" customHeight="false" outlineLevel="0" collapsed="false"/>
    <row r="1048575" customFormat="false" ht="12.85" hidden="false" customHeight="false" outlineLevel="0" collapsed="false"/>
    <row r="1048576" customFormat="false" ht="12.85" hidden="false" customHeight="false" outlineLevel="0" collapsed="false"/>
  </sheetData>
  <mergeCells count="58">
    <mergeCell ref="B3:E5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B24:E24"/>
    <mergeCell ref="B32:D32"/>
    <mergeCell ref="B33:E33"/>
    <mergeCell ref="B41:D41"/>
    <mergeCell ref="B42:E42"/>
    <mergeCell ref="B51:D51"/>
    <mergeCell ref="B52:E52"/>
    <mergeCell ref="B53:E53"/>
    <mergeCell ref="B63:C63"/>
    <mergeCell ref="B64:E64"/>
    <mergeCell ref="B68:C68"/>
    <mergeCell ref="B69:E69"/>
    <mergeCell ref="B73:C73"/>
    <mergeCell ref="B74:E74"/>
    <mergeCell ref="B82:C82"/>
    <mergeCell ref="B83:E83"/>
    <mergeCell ref="B91:C91"/>
    <mergeCell ref="B93:C93"/>
    <mergeCell ref="B94:E94"/>
    <mergeCell ref="B102:C102"/>
    <mergeCell ref="B103:E103"/>
    <mergeCell ref="B108:B109"/>
    <mergeCell ref="B114:C114"/>
    <mergeCell ref="B115:C116"/>
    <mergeCell ref="B117:C117"/>
    <mergeCell ref="B118:E118"/>
    <mergeCell ref="C119:D119"/>
    <mergeCell ref="C120:D120"/>
    <mergeCell ref="C121:D121"/>
    <mergeCell ref="C122:D122"/>
    <mergeCell ref="C123:D123"/>
    <mergeCell ref="B124:D124"/>
    <mergeCell ref="C125:D125"/>
    <mergeCell ref="B126:D126"/>
    <mergeCell ref="B127:D12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F125"/>
  <sheetViews>
    <sheetView windowProtection="false" showFormulas="false" showGridLines="true" showRowColHeaders="true" showZeros="true" rightToLeft="false" tabSelected="false" showOutlineSymbols="true" defaultGridColor="true" view="normal" topLeftCell="A28" colorId="64" zoomScale="75" zoomScaleNormal="75" zoomScalePageLayoutView="100" workbookViewId="0">
      <selection pane="topLeft" activeCell="E44" activeCellId="0" sqref="E44"/>
    </sheetView>
  </sheetViews>
  <sheetFormatPr defaultRowHeight="12.85"/>
  <cols>
    <col collapsed="false" hidden="false" max="2" min="1" style="0" width="10.5023255813953"/>
    <col collapsed="false" hidden="false" max="3" min="3" style="0" width="53.3674418604651"/>
    <col collapsed="false" hidden="false" max="4" min="4" style="0" width="15.9813953488372"/>
    <col collapsed="false" hidden="false" max="5" min="5" style="0" width="11.7953488372093"/>
    <col collapsed="false" hidden="false" max="6" min="6" style="0" width="14.5116279069767"/>
    <col collapsed="false" hidden="false" max="1025" min="7" style="0" width="10.5023255813953"/>
  </cols>
  <sheetData>
    <row r="1" customFormat="false" ht="16.05" hidden="false" customHeight="false" outlineLevel="0" collapsed="false"/>
    <row r="3" customFormat="false" ht="16.05" hidden="false" customHeight="false" outlineLevel="0" collapsed="false">
      <c r="B3" s="2" t="s">
        <v>0</v>
      </c>
      <c r="C3" s="2"/>
      <c r="D3" s="2"/>
      <c r="E3" s="2"/>
    </row>
    <row r="4" customFormat="false" ht="16.05" hidden="false" customHeight="false" outlineLevel="0" collapsed="false">
      <c r="B4" s="2"/>
      <c r="C4" s="2"/>
      <c r="D4" s="2"/>
      <c r="E4" s="2"/>
    </row>
    <row r="5" customFormat="false" ht="16.05" hidden="false" customHeight="false" outlineLevel="0" collapsed="false">
      <c r="B5" s="2"/>
      <c r="C5" s="2"/>
      <c r="D5" s="2"/>
      <c r="E5" s="2"/>
    </row>
    <row r="6" customFormat="false" ht="17.25" hidden="false" customHeight="false" outlineLevel="0" collapsed="false">
      <c r="B6" s="4" t="s">
        <v>1</v>
      </c>
      <c r="C6" s="4"/>
      <c r="D6" s="5"/>
      <c r="E6" s="5"/>
    </row>
    <row r="7" customFormat="false" ht="17.25" hidden="false" customHeight="false" outlineLevel="0" collapsed="false">
      <c r="B7" s="4" t="s">
        <v>2</v>
      </c>
      <c r="C7" s="4"/>
      <c r="D7" s="5"/>
      <c r="E7" s="5"/>
    </row>
    <row r="8" customFormat="false" ht="17.25" hidden="false" customHeight="false" outlineLevel="0" collapsed="false">
      <c r="B8" s="4" t="s">
        <v>3</v>
      </c>
      <c r="C8" s="4"/>
      <c r="D8" s="5"/>
      <c r="E8" s="5"/>
    </row>
    <row r="9" customFormat="false" ht="17.25" hidden="false" customHeight="false" outlineLevel="0" collapsed="false">
      <c r="B9" s="4" t="s">
        <v>4</v>
      </c>
      <c r="C9" s="4"/>
      <c r="D9" s="5"/>
      <c r="E9" s="5"/>
    </row>
    <row r="10" customFormat="false" ht="17.25" hidden="false" customHeight="false" outlineLevel="0" collapsed="false">
      <c r="B10" s="2" t="s">
        <v>5</v>
      </c>
      <c r="C10" s="2"/>
      <c r="D10" s="2"/>
      <c r="E10" s="2"/>
    </row>
    <row r="11" customFormat="false" ht="17.25" hidden="false" customHeight="false" outlineLevel="0" collapsed="false">
      <c r="B11" s="6" t="s">
        <v>6</v>
      </c>
      <c r="C11" s="6" t="s">
        <v>7</v>
      </c>
      <c r="D11" s="5"/>
      <c r="E11" s="5"/>
    </row>
    <row r="12" customFormat="false" ht="17.25" hidden="false" customHeight="false" outlineLevel="0" collapsed="false">
      <c r="B12" s="6" t="s">
        <v>8</v>
      </c>
      <c r="C12" s="6" t="s">
        <v>9</v>
      </c>
      <c r="D12" s="2" t="s">
        <v>143</v>
      </c>
      <c r="E12" s="2"/>
    </row>
    <row r="13" customFormat="false" ht="34.4" hidden="false" customHeight="true" outlineLevel="0" collapsed="false">
      <c r="B13" s="6" t="s">
        <v>11</v>
      </c>
      <c r="C13" s="7" t="s">
        <v>12</v>
      </c>
      <c r="D13" s="2" t="s">
        <v>13</v>
      </c>
      <c r="E13" s="2"/>
    </row>
    <row r="14" customFormat="false" ht="17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</row>
    <row r="15" customFormat="false" ht="17.25" hidden="false" customHeight="false" outlineLevel="0" collapsed="false">
      <c r="B15" s="2" t="s">
        <v>16</v>
      </c>
      <c r="C15" s="2"/>
      <c r="D15" s="2"/>
      <c r="E15" s="2"/>
    </row>
    <row r="16" customFormat="false" ht="71.75" hidden="false" customHeight="true" outlineLevel="0" collapsed="false">
      <c r="B16" s="9" t="s">
        <v>17</v>
      </c>
      <c r="C16" s="9"/>
      <c r="D16" s="9" t="s">
        <v>18</v>
      </c>
      <c r="E16" s="9" t="s">
        <v>19</v>
      </c>
    </row>
    <row r="17" customFormat="false" ht="17.25" hidden="false" customHeight="false" outlineLevel="0" collapsed="false">
      <c r="B17" s="2" t="s">
        <v>20</v>
      </c>
      <c r="C17" s="2"/>
      <c r="D17" s="6" t="s">
        <v>21</v>
      </c>
      <c r="E17" s="2" t="n">
        <v>1</v>
      </c>
    </row>
    <row r="18" customFormat="false" ht="17.25" hidden="false" customHeight="false" outlineLevel="0" collapsed="false">
      <c r="B18" s="2" t="s">
        <v>22</v>
      </c>
      <c r="C18" s="2"/>
      <c r="D18" s="2"/>
      <c r="E18" s="2"/>
    </row>
    <row r="19" customFormat="false" ht="17.25" hidden="false" customHeight="false" outlineLevel="0" collapsed="false">
      <c r="B19" s="2" t="s">
        <v>23</v>
      </c>
      <c r="C19" s="2"/>
      <c r="D19" s="2"/>
      <c r="E19" s="2"/>
    </row>
    <row r="20" customFormat="false" ht="17.25" hidden="false" customHeight="false" outlineLevel="0" collapsed="false">
      <c r="B20" s="10" t="n">
        <v>1</v>
      </c>
      <c r="C20" s="6" t="s">
        <v>24</v>
      </c>
      <c r="D20" s="77" t="s">
        <v>25</v>
      </c>
      <c r="E20" s="77"/>
    </row>
    <row r="21" customFormat="false" ht="17.25" hidden="false" customHeight="false" outlineLevel="0" collapsed="false">
      <c r="B21" s="10" t="n">
        <v>2</v>
      </c>
      <c r="C21" s="6" t="s">
        <v>26</v>
      </c>
      <c r="D21" s="12" t="n">
        <v>1602.86</v>
      </c>
      <c r="E21" s="12"/>
    </row>
    <row r="22" customFormat="false" ht="17.25" hidden="false" customHeight="false" outlineLevel="0" collapsed="false">
      <c r="B22" s="10" t="n">
        <v>3</v>
      </c>
      <c r="C22" s="6" t="s">
        <v>27</v>
      </c>
      <c r="D22" s="77" t="s">
        <v>25</v>
      </c>
      <c r="E22" s="77"/>
    </row>
    <row r="23" customFormat="false" ht="17.25" hidden="false" customHeight="false" outlineLevel="0" collapsed="false">
      <c r="B23" s="10" t="n">
        <v>4</v>
      </c>
      <c r="C23" s="6" t="s">
        <v>28</v>
      </c>
      <c r="D23" s="13" t="n">
        <v>42736</v>
      </c>
      <c r="E23" s="13"/>
    </row>
    <row r="24" customFormat="false" ht="17.25" hidden="false" customHeight="false" outlineLevel="0" collapsed="false">
      <c r="B24" s="2" t="s">
        <v>29</v>
      </c>
      <c r="C24" s="2"/>
      <c r="D24" s="2"/>
      <c r="E24" s="2"/>
    </row>
    <row r="25" customFormat="false" ht="17.25" hidden="false" customHeight="false" outlineLevel="0" collapsed="false">
      <c r="B25" s="2" t="n">
        <v>1</v>
      </c>
      <c r="C25" s="2" t="s">
        <v>30</v>
      </c>
      <c r="D25" s="10" t="s">
        <v>31</v>
      </c>
      <c r="E25" s="14" t="s">
        <v>32</v>
      </c>
    </row>
    <row r="26" customFormat="false" ht="17.25" hidden="false" customHeight="false" outlineLevel="0" collapsed="false">
      <c r="B26" s="10" t="s">
        <v>6</v>
      </c>
      <c r="C26" s="6" t="s">
        <v>33</v>
      </c>
      <c r="D26" s="6"/>
      <c r="E26" s="15" t="n">
        <f aca="false">D21</f>
        <v>1602.86</v>
      </c>
    </row>
    <row r="27" customFormat="false" ht="17.25" hidden="false" customHeight="false" outlineLevel="0" collapsed="false">
      <c r="B27" s="10" t="s">
        <v>8</v>
      </c>
      <c r="C27" s="6" t="s">
        <v>34</v>
      </c>
      <c r="D27" s="17" t="n">
        <v>0.3</v>
      </c>
      <c r="E27" s="15" t="n">
        <f aca="false">E26*0.3</f>
        <v>480.858</v>
      </c>
    </row>
    <row r="28" customFormat="false" ht="17.25" hidden="false" customHeight="false" outlineLevel="0" collapsed="false">
      <c r="B28" s="10" t="s">
        <v>11</v>
      </c>
      <c r="C28" s="6" t="s">
        <v>35</v>
      </c>
      <c r="D28" s="17" t="n">
        <v>0.6</v>
      </c>
      <c r="E28" s="15" t="n">
        <f aca="false">(E26+E27)/220*1.6*15</f>
        <v>227.314690909091</v>
      </c>
    </row>
    <row r="29" customFormat="false" ht="15.9" hidden="false" customHeight="false" outlineLevel="0" collapsed="false">
      <c r="B29" s="10" t="s">
        <v>14</v>
      </c>
      <c r="C29" s="6" t="s">
        <v>36</v>
      </c>
      <c r="D29" s="17" t="n">
        <v>0.4</v>
      </c>
      <c r="E29" s="15" t="n">
        <f aca="false">(E26+E27)/220*0.4*8*15</f>
        <v>454.629381818182</v>
      </c>
    </row>
    <row r="30" customFormat="false" ht="15.9" hidden="false" customHeight="false" outlineLevel="0" collapsed="false">
      <c r="B30" s="10" t="s">
        <v>37</v>
      </c>
      <c r="C30" s="6" t="s">
        <v>38</v>
      </c>
      <c r="D30" s="6" t="n">
        <v>16</v>
      </c>
      <c r="E30" s="15" t="n">
        <f aca="false">(E26+E27)*2/220*8</f>
        <v>151.543127272727</v>
      </c>
    </row>
    <row r="31" customFormat="false" ht="15.25" hidden="false" customHeight="false" outlineLevel="0" collapsed="false">
      <c r="B31" s="10" t="s">
        <v>39</v>
      </c>
      <c r="C31" s="6" t="s">
        <v>40</v>
      </c>
      <c r="D31" s="19"/>
      <c r="E31" s="15" t="n">
        <f aca="false">(E28+E29+E30)*5/25</f>
        <v>166.69744</v>
      </c>
    </row>
    <row r="32" customFormat="false" ht="17.25" hidden="false" customHeight="false" outlineLevel="0" collapsed="false">
      <c r="B32" s="20" t="s">
        <v>41</v>
      </c>
      <c r="C32" s="20"/>
      <c r="D32" s="20"/>
      <c r="E32" s="21" t="n">
        <f aca="false">SUM(E26:E31)</f>
        <v>3083.90264</v>
      </c>
    </row>
    <row r="33" customFormat="false" ht="15.25" hidden="false" customHeight="false" outlineLevel="0" collapsed="false">
      <c r="B33" s="2" t="s">
        <v>42</v>
      </c>
      <c r="C33" s="2"/>
      <c r="D33" s="2"/>
      <c r="E33" s="2"/>
    </row>
    <row r="34" customFormat="false" ht="15.25" hidden="false" customHeight="false" outlineLevel="0" collapsed="false">
      <c r="B34" s="2" t="n">
        <v>2</v>
      </c>
      <c r="C34" s="2" t="s">
        <v>43</v>
      </c>
      <c r="D34" s="10"/>
      <c r="E34" s="2" t="s">
        <v>32</v>
      </c>
    </row>
    <row r="35" customFormat="false" ht="15.25" hidden="false" customHeight="false" outlineLevel="0" collapsed="false">
      <c r="B35" s="10" t="s">
        <v>6</v>
      </c>
      <c r="C35" s="6" t="s">
        <v>44</v>
      </c>
      <c r="D35" s="23"/>
      <c r="E35" s="24" t="n">
        <f aca="false">'Equipamentos JK (Não Mot.)'!H97</f>
        <v>160.714285714286</v>
      </c>
      <c r="F35" s="84" t="s">
        <v>158</v>
      </c>
    </row>
    <row r="36" customFormat="false" ht="17.25" hidden="false" customHeight="false" outlineLevel="0" collapsed="false">
      <c r="B36" s="10" t="s">
        <v>8</v>
      </c>
      <c r="C36" s="6" t="s">
        <v>45</v>
      </c>
      <c r="D36" s="23" t="n">
        <v>15.99</v>
      </c>
      <c r="E36" s="24" t="n">
        <f aca="false">D36*0.9*15</f>
        <v>215.865</v>
      </c>
      <c r="F36" s="85" t="n">
        <v>15</v>
      </c>
    </row>
    <row r="37" customFormat="false" ht="15.25" hidden="false" customHeight="false" outlineLevel="0" collapsed="false">
      <c r="B37" s="10" t="s">
        <v>11</v>
      </c>
      <c r="C37" s="6" t="s">
        <v>46</v>
      </c>
      <c r="D37" s="23"/>
      <c r="E37" s="23" t="n">
        <v>112.9</v>
      </c>
    </row>
    <row r="38" customFormat="false" ht="15.9" hidden="false" customHeight="false" outlineLevel="0" collapsed="false">
      <c r="B38" s="10" t="s">
        <v>14</v>
      </c>
      <c r="C38" s="6" t="s">
        <v>47</v>
      </c>
      <c r="D38" s="6"/>
      <c r="E38" s="23" t="n">
        <v>91.08</v>
      </c>
    </row>
    <row r="39" customFormat="false" ht="15.25" hidden="false" customHeight="false" outlineLevel="0" collapsed="false">
      <c r="B39" s="10" t="s">
        <v>37</v>
      </c>
      <c r="C39" s="6" t="s">
        <v>48</v>
      </c>
      <c r="D39" s="23"/>
      <c r="E39" s="23" t="n">
        <f aca="false">'Média Insumos e benefícios'!E14</f>
        <v>19.0666666666667</v>
      </c>
    </row>
    <row r="40" customFormat="false" ht="17.25" hidden="false" customHeight="false" outlineLevel="0" collapsed="false">
      <c r="B40" s="10" t="s">
        <v>39</v>
      </c>
      <c r="C40" s="6" t="s">
        <v>49</v>
      </c>
      <c r="D40" s="23"/>
      <c r="E40" s="23"/>
    </row>
    <row r="41" customFormat="false" ht="15.25" hidden="false" customHeight="false" outlineLevel="0" collapsed="false">
      <c r="B41" s="34" t="s">
        <v>50</v>
      </c>
      <c r="C41" s="34"/>
      <c r="D41" s="34"/>
      <c r="E41" s="21" t="n">
        <f aca="false">SUM(E35:E40)</f>
        <v>599.625952380952</v>
      </c>
    </row>
    <row r="42" customFormat="false" ht="17.2" hidden="false" customHeight="false" outlineLevel="0" collapsed="false">
      <c r="B42" s="2" t="s">
        <v>51</v>
      </c>
      <c r="C42" s="2"/>
      <c r="D42" s="2"/>
      <c r="E42" s="2"/>
    </row>
    <row r="43" customFormat="false" ht="15.25" hidden="false" customHeight="false" outlineLevel="0" collapsed="false">
      <c r="B43" s="2" t="n">
        <v>3</v>
      </c>
      <c r="C43" s="2" t="s">
        <v>52</v>
      </c>
      <c r="D43" s="10" t="s">
        <v>31</v>
      </c>
      <c r="E43" s="2" t="s">
        <v>32</v>
      </c>
    </row>
    <row r="44" customFormat="false" ht="15.9" hidden="false" customHeight="false" outlineLevel="0" collapsed="false">
      <c r="B44" s="10" t="s">
        <v>6</v>
      </c>
      <c r="C44" s="6" t="s">
        <v>53</v>
      </c>
      <c r="D44" s="6"/>
      <c r="E44" s="23" t="n">
        <f aca="false">'Equipamentos JK (Não Mot.)'!H95</f>
        <v>172.134166666667</v>
      </c>
    </row>
    <row r="45" customFormat="false" ht="15.25" hidden="false" customHeight="false" outlineLevel="0" collapsed="false">
      <c r="B45" s="10" t="s">
        <v>8</v>
      </c>
      <c r="C45" s="6" t="s">
        <v>54</v>
      </c>
      <c r="D45" s="6"/>
      <c r="E45" s="23" t="n">
        <f aca="false">'Equipamentos JK (Não Mot.)'!H93</f>
        <v>14.1097698180637</v>
      </c>
    </row>
    <row r="46" customFormat="false" ht="15.25" hidden="false" customHeight="false" outlineLevel="0" collapsed="false">
      <c r="B46" s="10" t="s">
        <v>11</v>
      </c>
      <c r="C46" s="6" t="s">
        <v>55</v>
      </c>
      <c r="D46" s="6"/>
      <c r="E46" s="23"/>
    </row>
    <row r="47" customFormat="false" ht="15.25" hidden="false" customHeight="false" outlineLevel="0" collapsed="false">
      <c r="B47" s="10" t="s">
        <v>14</v>
      </c>
      <c r="C47" s="6" t="s">
        <v>56</v>
      </c>
      <c r="D47" s="6"/>
      <c r="E47" s="23" t="n">
        <v>4</v>
      </c>
    </row>
    <row r="48" customFormat="false" ht="15.25" hidden="false" customHeight="false" outlineLevel="0" collapsed="false">
      <c r="B48" s="10" t="s">
        <v>37</v>
      </c>
      <c r="C48" s="6" t="s">
        <v>57</v>
      </c>
      <c r="D48" s="6"/>
      <c r="E48" s="23" t="n">
        <f aca="false">'Média Insumos e benefícios'!K16</f>
        <v>128.666666666667</v>
      </c>
    </row>
    <row r="49" customFormat="false" ht="15.25" hidden="false" customHeight="false" outlineLevel="0" collapsed="false">
      <c r="B49" s="20" t="s">
        <v>58</v>
      </c>
      <c r="C49" s="20"/>
      <c r="D49" s="20"/>
      <c r="E49" s="33" t="n">
        <f aca="false">SUM(E44:E48)</f>
        <v>318.910603151397</v>
      </c>
    </row>
    <row r="50" customFormat="false" ht="15.25" hidden="false" customHeight="false" outlineLevel="0" collapsed="false">
      <c r="B50" s="2" t="s">
        <v>59</v>
      </c>
      <c r="C50" s="2"/>
      <c r="D50" s="2"/>
      <c r="E50" s="2"/>
    </row>
    <row r="51" customFormat="false" ht="17.25" hidden="false" customHeight="false" outlineLevel="0" collapsed="false">
      <c r="B51" s="34" t="s">
        <v>60</v>
      </c>
      <c r="C51" s="34"/>
      <c r="D51" s="34"/>
      <c r="E51" s="34"/>
    </row>
    <row r="52" customFormat="false" ht="17.25" hidden="false" customHeight="false" outlineLevel="0" collapsed="false">
      <c r="B52" s="2" t="s">
        <v>61</v>
      </c>
      <c r="C52" s="2" t="s">
        <v>62</v>
      </c>
      <c r="D52" s="10" t="s">
        <v>31</v>
      </c>
      <c r="E52" s="2" t="s">
        <v>32</v>
      </c>
    </row>
    <row r="53" customFormat="false" ht="17.25" hidden="false" customHeight="false" outlineLevel="0" collapsed="false">
      <c r="B53" s="10" t="s">
        <v>6</v>
      </c>
      <c r="C53" s="6" t="s">
        <v>63</v>
      </c>
      <c r="D53" s="35" t="n">
        <v>0.2</v>
      </c>
      <c r="E53" s="24" t="n">
        <f aca="false">$E$32*D53</f>
        <v>616.780528</v>
      </c>
    </row>
    <row r="54" customFormat="false" ht="17.25" hidden="false" customHeight="false" outlineLevel="0" collapsed="false">
      <c r="B54" s="10" t="s">
        <v>8</v>
      </c>
      <c r="C54" s="6" t="s">
        <v>64</v>
      </c>
      <c r="D54" s="35" t="n">
        <v>0.015</v>
      </c>
      <c r="E54" s="24" t="n">
        <f aca="false">$E$32*D54</f>
        <v>46.2585396</v>
      </c>
    </row>
    <row r="55" customFormat="false" ht="17.25" hidden="false" customHeight="false" outlineLevel="0" collapsed="false">
      <c r="B55" s="10" t="s">
        <v>11</v>
      </c>
      <c r="C55" s="6" t="s">
        <v>65</v>
      </c>
      <c r="D55" s="35" t="n">
        <v>0.01</v>
      </c>
      <c r="E55" s="24" t="n">
        <f aca="false">$E$32*D55</f>
        <v>30.8390264</v>
      </c>
    </row>
    <row r="56" customFormat="false" ht="17.25" hidden="false" customHeight="false" outlineLevel="0" collapsed="false">
      <c r="B56" s="10" t="s">
        <v>14</v>
      </c>
      <c r="C56" s="6" t="s">
        <v>66</v>
      </c>
      <c r="D56" s="35" t="n">
        <v>0.002</v>
      </c>
      <c r="E56" s="24" t="n">
        <f aca="false">$E$32*D56</f>
        <v>6.16780528</v>
      </c>
    </row>
    <row r="57" customFormat="false" ht="17.25" hidden="false" customHeight="false" outlineLevel="0" collapsed="false">
      <c r="B57" s="10" t="s">
        <v>37</v>
      </c>
      <c r="C57" s="6" t="s">
        <v>67</v>
      </c>
      <c r="D57" s="35" t="n">
        <v>0.025</v>
      </c>
      <c r="E57" s="24" t="n">
        <f aca="false">$E$32*D57</f>
        <v>77.097566</v>
      </c>
    </row>
    <row r="58" customFormat="false" ht="17.25" hidden="false" customHeight="false" outlineLevel="0" collapsed="false">
      <c r="B58" s="10" t="s">
        <v>39</v>
      </c>
      <c r="C58" s="6" t="s">
        <v>68</v>
      </c>
      <c r="D58" s="35" t="n">
        <v>0.08</v>
      </c>
      <c r="E58" s="24" t="n">
        <f aca="false">$E$32*D58</f>
        <v>246.7122112</v>
      </c>
    </row>
    <row r="59" customFormat="false" ht="17.25" hidden="false" customHeight="false" outlineLevel="0" collapsed="false">
      <c r="B59" s="10" t="s">
        <v>69</v>
      </c>
      <c r="C59" s="6" t="s">
        <v>70</v>
      </c>
      <c r="D59" s="35" t="n">
        <v>0.03</v>
      </c>
      <c r="E59" s="24" t="n">
        <f aca="false">$E$32*D59</f>
        <v>92.5170792</v>
      </c>
    </row>
    <row r="60" customFormat="false" ht="17.25" hidden="false" customHeight="false" outlineLevel="0" collapsed="false">
      <c r="B60" s="10" t="s">
        <v>71</v>
      </c>
      <c r="C60" s="6" t="s">
        <v>72</v>
      </c>
      <c r="D60" s="35" t="n">
        <v>0.006</v>
      </c>
      <c r="E60" s="24" t="n">
        <f aca="false">$E$32*D60</f>
        <v>18.50341584</v>
      </c>
    </row>
    <row r="61" customFormat="false" ht="17.25" hidden="false" customHeight="false" outlineLevel="0" collapsed="false">
      <c r="B61" s="20" t="s">
        <v>73</v>
      </c>
      <c r="C61" s="20"/>
      <c r="D61" s="38" t="n">
        <v>0.368</v>
      </c>
      <c r="E61" s="21" t="n">
        <f aca="false">$E$32*D61</f>
        <v>1134.87617152</v>
      </c>
    </row>
    <row r="62" customFormat="false" ht="17.25" hidden="false" customHeight="false" outlineLevel="0" collapsed="false">
      <c r="B62" s="34" t="s">
        <v>74</v>
      </c>
      <c r="C62" s="34"/>
      <c r="D62" s="34"/>
      <c r="E62" s="34"/>
    </row>
    <row r="63" customFormat="false" ht="17.25" hidden="false" customHeight="false" outlineLevel="0" collapsed="false">
      <c r="B63" s="2" t="s">
        <v>75</v>
      </c>
      <c r="C63" s="34" t="s">
        <v>76</v>
      </c>
      <c r="D63" s="10" t="s">
        <v>31</v>
      </c>
      <c r="E63" s="2" t="s">
        <v>32</v>
      </c>
    </row>
    <row r="64" customFormat="false" ht="17.25" hidden="false" customHeight="false" outlineLevel="0" collapsed="false">
      <c r="B64" s="10" t="s">
        <v>6</v>
      </c>
      <c r="C64" s="6" t="s">
        <v>77</v>
      </c>
      <c r="D64" s="41" t="n">
        <v>0.0833</v>
      </c>
      <c r="E64" s="24" t="n">
        <f aca="false">$E$32*D64</f>
        <v>256.889089912</v>
      </c>
    </row>
    <row r="65" customFormat="false" ht="21" hidden="false" customHeight="true" outlineLevel="0" collapsed="false">
      <c r="B65" s="10" t="s">
        <v>8</v>
      </c>
      <c r="C65" s="7" t="s">
        <v>78</v>
      </c>
      <c r="D65" s="41" t="n">
        <f aca="false">D64*D61</f>
        <v>0.0306544</v>
      </c>
      <c r="E65" s="24" t="n">
        <f aca="false">$E$32*D65</f>
        <v>94.535185087616</v>
      </c>
    </row>
    <row r="66" customFormat="false" ht="17.25" hidden="false" customHeight="false" outlineLevel="0" collapsed="false">
      <c r="B66" s="20" t="s">
        <v>73</v>
      </c>
      <c r="C66" s="20"/>
      <c r="D66" s="41" t="n">
        <v>0.1139544</v>
      </c>
      <c r="E66" s="21" t="n">
        <f aca="false">$E$32*D66</f>
        <v>351.424274999616</v>
      </c>
    </row>
    <row r="67" customFormat="false" ht="17.25" hidden="false" customHeight="false" outlineLevel="0" collapsed="false">
      <c r="B67" s="34" t="s">
        <v>79</v>
      </c>
      <c r="C67" s="34"/>
      <c r="D67" s="34"/>
      <c r="E67" s="34"/>
    </row>
    <row r="68" customFormat="false" ht="17.25" hidden="false" customHeight="false" outlineLevel="0" collapsed="false">
      <c r="B68" s="2" t="s">
        <v>80</v>
      </c>
      <c r="C68" s="2" t="s">
        <v>81</v>
      </c>
      <c r="D68" s="10" t="s">
        <v>31</v>
      </c>
      <c r="E68" s="2" t="s">
        <v>32</v>
      </c>
    </row>
    <row r="69" customFormat="false" ht="17.25" hidden="false" customHeight="false" outlineLevel="0" collapsed="false">
      <c r="B69" s="10" t="s">
        <v>6</v>
      </c>
      <c r="C69" s="6" t="s">
        <v>81</v>
      </c>
      <c r="D69" s="44" t="n">
        <v>0.00074</v>
      </c>
      <c r="E69" s="24" t="n">
        <f aca="false">$E$32*D69</f>
        <v>2.2820879536</v>
      </c>
    </row>
    <row r="70" customFormat="false" ht="20.05" hidden="false" customHeight="true" outlineLevel="0" collapsed="false">
      <c r="B70" s="10" t="s">
        <v>8</v>
      </c>
      <c r="C70" s="7" t="s">
        <v>82</v>
      </c>
      <c r="D70" s="44" t="n">
        <f aca="false">D69*D61</f>
        <v>0.00027232</v>
      </c>
      <c r="E70" s="24" t="n">
        <f aca="false">$E$32*D70</f>
        <v>0.8398083669248</v>
      </c>
    </row>
    <row r="71" customFormat="false" ht="17.25" hidden="false" customHeight="false" outlineLevel="0" collapsed="false">
      <c r="B71" s="20" t="s">
        <v>73</v>
      </c>
      <c r="C71" s="20"/>
      <c r="D71" s="46" t="n">
        <v>0.00104</v>
      </c>
      <c r="E71" s="21" t="n">
        <f aca="false">$E$32*D71</f>
        <v>3.2072587456</v>
      </c>
    </row>
    <row r="72" customFormat="false" ht="17.25" hidden="false" customHeight="false" outlineLevel="0" collapsed="false">
      <c r="B72" s="34" t="s">
        <v>83</v>
      </c>
      <c r="C72" s="34"/>
      <c r="D72" s="34"/>
      <c r="E72" s="34"/>
    </row>
    <row r="73" customFormat="false" ht="17.25" hidden="false" customHeight="false" outlineLevel="0" collapsed="false">
      <c r="B73" s="2" t="s">
        <v>84</v>
      </c>
      <c r="C73" s="2" t="s">
        <v>85</v>
      </c>
      <c r="D73" s="10" t="s">
        <v>31</v>
      </c>
      <c r="E73" s="2" t="s">
        <v>32</v>
      </c>
    </row>
    <row r="74" customFormat="false" ht="17.25" hidden="false" customHeight="false" outlineLevel="0" collapsed="false">
      <c r="B74" s="10" t="s">
        <v>6</v>
      </c>
      <c r="C74" s="6" t="s">
        <v>86</v>
      </c>
      <c r="D74" s="41" t="n">
        <v>0.00416666666666667</v>
      </c>
      <c r="E74" s="24" t="n">
        <f aca="false">$E$32*D74</f>
        <v>12.8495943333333</v>
      </c>
    </row>
    <row r="75" customFormat="false" ht="19.1" hidden="false" customHeight="true" outlineLevel="0" collapsed="false">
      <c r="B75" s="10" t="s">
        <v>8</v>
      </c>
      <c r="C75" s="7" t="s">
        <v>87</v>
      </c>
      <c r="D75" s="41" t="n">
        <v>0.000333333333333333</v>
      </c>
      <c r="E75" s="24" t="n">
        <f aca="false">$E$32*D75</f>
        <v>1.02796754666667</v>
      </c>
    </row>
    <row r="76" customFormat="false" ht="17.25" hidden="false" customHeight="false" outlineLevel="0" collapsed="false">
      <c r="B76" s="10" t="s">
        <v>11</v>
      </c>
      <c r="C76" s="6" t="s">
        <v>88</v>
      </c>
      <c r="D76" s="41" t="n">
        <v>0.043</v>
      </c>
      <c r="E76" s="24" t="n">
        <f aca="false">$E$32*D76</f>
        <v>132.60781352</v>
      </c>
    </row>
    <row r="77" customFormat="false" ht="17.25" hidden="false" customHeight="false" outlineLevel="0" collapsed="false">
      <c r="B77" s="10" t="s">
        <v>14</v>
      </c>
      <c r="C77" s="6" t="s">
        <v>89</v>
      </c>
      <c r="D77" s="47" t="n">
        <v>0.0194444444444444</v>
      </c>
      <c r="E77" s="24" t="n">
        <f aca="false">$E$32*D77</f>
        <v>59.9647735555554</v>
      </c>
    </row>
    <row r="78" customFormat="false" ht="22.95" hidden="false" customHeight="true" outlineLevel="0" collapsed="false">
      <c r="B78" s="10" t="s">
        <v>37</v>
      </c>
      <c r="C78" s="7" t="s">
        <v>90</v>
      </c>
      <c r="D78" s="41" t="n">
        <v>0.00715555555555556</v>
      </c>
      <c r="E78" s="24" t="n">
        <f aca="false">$E$32*D78</f>
        <v>22.0670366684445</v>
      </c>
    </row>
    <row r="79" customFormat="false" ht="17.25" hidden="false" customHeight="false" outlineLevel="0" collapsed="false">
      <c r="B79" s="10" t="s">
        <v>39</v>
      </c>
      <c r="C79" s="6" t="s">
        <v>91</v>
      </c>
      <c r="D79" s="41" t="n">
        <v>0.000776</v>
      </c>
      <c r="E79" s="24" t="n">
        <f aca="false">$E$32*D79</f>
        <v>2.39310844864</v>
      </c>
    </row>
    <row r="80" customFormat="false" ht="17.25" hidden="false" customHeight="false" outlineLevel="0" collapsed="false">
      <c r="B80" s="20" t="s">
        <v>73</v>
      </c>
      <c r="C80" s="20"/>
      <c r="D80" s="41" t="n">
        <v>0.074876</v>
      </c>
      <c r="E80" s="21" t="n">
        <f aca="false">$E$32*D80</f>
        <v>230.91029407264</v>
      </c>
    </row>
    <row r="81" customFormat="false" ht="17.25" hidden="false" customHeight="false" outlineLevel="0" collapsed="false">
      <c r="B81" s="34" t="s">
        <v>92</v>
      </c>
      <c r="C81" s="34"/>
      <c r="D81" s="34"/>
      <c r="E81" s="34"/>
    </row>
    <row r="82" customFormat="false" ht="26.75" hidden="false" customHeight="true" outlineLevel="0" collapsed="false">
      <c r="B82" s="2" t="s">
        <v>93</v>
      </c>
      <c r="C82" s="14" t="s">
        <v>94</v>
      </c>
      <c r="D82" s="48" t="s">
        <v>31</v>
      </c>
      <c r="E82" s="2" t="s">
        <v>32</v>
      </c>
    </row>
    <row r="83" customFormat="false" ht="17.25" hidden="false" customHeight="false" outlineLevel="0" collapsed="false">
      <c r="B83" s="10" t="s">
        <v>6</v>
      </c>
      <c r="C83" s="6" t="s">
        <v>95</v>
      </c>
      <c r="D83" s="49" t="n">
        <v>0.1111</v>
      </c>
      <c r="E83" s="24" t="n">
        <f aca="false">$E$32*D83</f>
        <v>342.621583304</v>
      </c>
    </row>
    <row r="84" customFormat="false" ht="17.25" hidden="false" customHeight="false" outlineLevel="0" collapsed="false">
      <c r="B84" s="10" t="s">
        <v>8</v>
      </c>
      <c r="C84" s="6" t="s">
        <v>96</v>
      </c>
      <c r="D84" s="49" t="n">
        <v>0.0166</v>
      </c>
      <c r="E84" s="24" t="n">
        <f aca="false">$E$32*D84</f>
        <v>51.192783824</v>
      </c>
    </row>
    <row r="85" customFormat="false" ht="17.25" hidden="false" customHeight="false" outlineLevel="0" collapsed="false">
      <c r="B85" s="10" t="s">
        <v>11</v>
      </c>
      <c r="C85" s="6" t="s">
        <v>97</v>
      </c>
      <c r="D85" s="49" t="n">
        <v>0.0002</v>
      </c>
      <c r="E85" s="24" t="n">
        <f aca="false">$E$32*D85</f>
        <v>0.616780528</v>
      </c>
    </row>
    <row r="86" customFormat="false" ht="17.25" hidden="false" customHeight="false" outlineLevel="0" collapsed="false">
      <c r="B86" s="10" t="s">
        <v>14</v>
      </c>
      <c r="C86" s="6" t="s">
        <v>98</v>
      </c>
      <c r="D86" s="49" t="n">
        <v>0.0028</v>
      </c>
      <c r="E86" s="24" t="n">
        <f aca="false">$E$32*D86</f>
        <v>8.634927392</v>
      </c>
    </row>
    <row r="87" customFormat="false" ht="17.25" hidden="false" customHeight="false" outlineLevel="0" collapsed="false">
      <c r="B87" s="10" t="s">
        <v>37</v>
      </c>
      <c r="C87" s="6" t="s">
        <v>99</v>
      </c>
      <c r="D87" s="49" t="n">
        <v>0.0003</v>
      </c>
      <c r="E87" s="24" t="n">
        <f aca="false">$E$32*D87</f>
        <v>0.925170792</v>
      </c>
    </row>
    <row r="88" customFormat="false" ht="17.25" hidden="false" customHeight="false" outlineLevel="0" collapsed="false">
      <c r="B88" s="10" t="s">
        <v>39</v>
      </c>
      <c r="C88" s="6" t="s">
        <v>100</v>
      </c>
      <c r="D88" s="49"/>
      <c r="E88" s="24" t="n">
        <v>0</v>
      </c>
    </row>
    <row r="89" customFormat="false" ht="17.25" hidden="false" customHeight="false" outlineLevel="0" collapsed="false">
      <c r="B89" s="34" t="s">
        <v>101</v>
      </c>
      <c r="C89" s="34"/>
      <c r="D89" s="53" t="n">
        <v>0.131</v>
      </c>
      <c r="E89" s="21" t="n">
        <f aca="false">$E$32*D89</f>
        <v>403.99124584</v>
      </c>
    </row>
    <row r="90" customFormat="false" ht="24.85" hidden="false" customHeight="true" outlineLevel="0" collapsed="false">
      <c r="B90" s="10" t="s">
        <v>69</v>
      </c>
      <c r="C90" s="54" t="s">
        <v>102</v>
      </c>
      <c r="D90" s="49" t="n">
        <v>0.048208</v>
      </c>
      <c r="E90" s="24" t="n">
        <f aca="false">$E$32*D90</f>
        <v>148.66877846912</v>
      </c>
    </row>
    <row r="91" customFormat="false" ht="17.25" hidden="false" customHeight="false" outlineLevel="0" collapsed="false">
      <c r="B91" s="20" t="s">
        <v>73</v>
      </c>
      <c r="C91" s="20"/>
      <c r="D91" s="53" t="n">
        <v>0.179208</v>
      </c>
      <c r="E91" s="21" t="n">
        <f aca="false">$E$32*D91</f>
        <v>552.66002430912</v>
      </c>
    </row>
    <row r="92" customFormat="false" ht="30.6" hidden="false" customHeight="true" outlineLevel="0" collapsed="false">
      <c r="B92" s="14" t="s">
        <v>103</v>
      </c>
      <c r="C92" s="14"/>
      <c r="D92" s="14"/>
      <c r="E92" s="14"/>
    </row>
    <row r="93" customFormat="false" ht="17.25" hidden="false" customHeight="false" outlineLevel="0" collapsed="false">
      <c r="B93" s="2" t="n">
        <v>4</v>
      </c>
      <c r="C93" s="2" t="s">
        <v>104</v>
      </c>
      <c r="D93" s="10" t="s">
        <v>31</v>
      </c>
      <c r="E93" s="2" t="s">
        <v>32</v>
      </c>
    </row>
    <row r="94" customFormat="false" ht="17.25" hidden="false" customHeight="false" outlineLevel="0" collapsed="false">
      <c r="B94" s="10" t="s">
        <v>105</v>
      </c>
      <c r="C94" s="6" t="s">
        <v>106</v>
      </c>
      <c r="D94" s="56" t="n">
        <v>0.368</v>
      </c>
      <c r="E94" s="24" t="n">
        <f aca="false">$E$32*D94</f>
        <v>1134.87617152</v>
      </c>
    </row>
    <row r="95" customFormat="false" ht="17.25" hidden="false" customHeight="false" outlineLevel="0" collapsed="false">
      <c r="B95" s="10" t="s">
        <v>107</v>
      </c>
      <c r="C95" s="6" t="s">
        <v>108</v>
      </c>
      <c r="D95" s="56" t="n">
        <v>0.1139544</v>
      </c>
      <c r="E95" s="24" t="n">
        <f aca="false">$E$32*D95</f>
        <v>351.424274999616</v>
      </c>
    </row>
    <row r="96" customFormat="false" ht="17.25" hidden="false" customHeight="false" outlineLevel="0" collapsed="false">
      <c r="B96" s="10" t="s">
        <v>109</v>
      </c>
      <c r="C96" s="6" t="s">
        <v>110</v>
      </c>
      <c r="D96" s="56" t="n">
        <v>0.00104</v>
      </c>
      <c r="E96" s="24" t="n">
        <f aca="false">$E$32*D96</f>
        <v>3.2072587456</v>
      </c>
    </row>
    <row r="97" customFormat="false" ht="17.25" hidden="false" customHeight="false" outlineLevel="0" collapsed="false">
      <c r="B97" s="10" t="s">
        <v>111</v>
      </c>
      <c r="C97" s="6" t="s">
        <v>112</v>
      </c>
      <c r="D97" s="56" t="n">
        <v>0.074876</v>
      </c>
      <c r="E97" s="24" t="n">
        <f aca="false">$E$32*D97</f>
        <v>230.91029407264</v>
      </c>
    </row>
    <row r="98" customFormat="false" ht="17.25" hidden="false" customHeight="false" outlineLevel="0" collapsed="false">
      <c r="B98" s="10" t="s">
        <v>113</v>
      </c>
      <c r="C98" s="6" t="s">
        <v>114</v>
      </c>
      <c r="D98" s="56" t="n">
        <v>0.179208</v>
      </c>
      <c r="E98" s="24" t="n">
        <f aca="false">$E$32*D98</f>
        <v>552.66002430912</v>
      </c>
    </row>
    <row r="99" customFormat="false" ht="17.25" hidden="false" customHeight="false" outlineLevel="0" collapsed="false">
      <c r="B99" s="10" t="s">
        <v>115</v>
      </c>
      <c r="C99" s="6" t="s">
        <v>100</v>
      </c>
      <c r="D99" s="56"/>
      <c r="E99" s="24"/>
    </row>
    <row r="100" customFormat="false" ht="17.25" hidden="false" customHeight="false" outlineLevel="0" collapsed="false">
      <c r="B100" s="20" t="s">
        <v>73</v>
      </c>
      <c r="C100" s="20"/>
      <c r="D100" s="57" t="n">
        <v>0.7370784</v>
      </c>
      <c r="E100" s="21" t="n">
        <f aca="false">$E$32*D100</f>
        <v>2273.07802364698</v>
      </c>
    </row>
    <row r="101" customFormat="false" ht="17.2" hidden="false" customHeight="false" outlineLevel="0" collapsed="false">
      <c r="B101" s="2" t="s">
        <v>116</v>
      </c>
      <c r="C101" s="2"/>
      <c r="D101" s="2"/>
      <c r="E101" s="2"/>
    </row>
    <row r="102" customFormat="false" ht="17.25" hidden="false" customHeight="false" outlineLevel="0" collapsed="false">
      <c r="B102" s="2" t="n">
        <v>5</v>
      </c>
      <c r="C102" s="2" t="s">
        <v>117</v>
      </c>
      <c r="D102" s="10" t="s">
        <v>31</v>
      </c>
      <c r="E102" s="2" t="s">
        <v>32</v>
      </c>
    </row>
    <row r="103" customFormat="false" ht="17.25" hidden="false" customHeight="false" outlineLevel="0" collapsed="false">
      <c r="B103" s="10" t="s">
        <v>6</v>
      </c>
      <c r="C103" s="59" t="s">
        <v>118</v>
      </c>
      <c r="D103" s="38" t="n">
        <v>0.06</v>
      </c>
      <c r="E103" s="33" t="n">
        <f aca="false">E122*D103</f>
        <v>376.531033150759</v>
      </c>
    </row>
    <row r="104" customFormat="false" ht="17.25" hidden="false" customHeight="false" outlineLevel="0" collapsed="false">
      <c r="B104" s="10" t="s">
        <v>8</v>
      </c>
      <c r="C104" s="59" t="s">
        <v>119</v>
      </c>
      <c r="D104" s="38" t="n">
        <v>0.0679</v>
      </c>
      <c r="E104" s="33" t="n">
        <f aca="false">(E122+E103)*D104</f>
        <v>451.674076333213</v>
      </c>
    </row>
    <row r="105" customFormat="false" ht="17.25" hidden="false" customHeight="false" outlineLevel="0" collapsed="false">
      <c r="B105" s="10" t="s">
        <v>11</v>
      </c>
      <c r="C105" s="59" t="s">
        <v>120</v>
      </c>
      <c r="D105" s="6"/>
      <c r="E105" s="6"/>
    </row>
    <row r="106" customFormat="false" ht="17.25" hidden="false" customHeight="false" outlineLevel="0" collapsed="false">
      <c r="B106" s="60" t="s">
        <v>121</v>
      </c>
      <c r="C106" s="6" t="s">
        <v>122</v>
      </c>
      <c r="D106" s="61" t="n">
        <v>3</v>
      </c>
      <c r="E106" s="62" t="n">
        <f aca="false">E124*D106/100</f>
        <v>233.291373683524</v>
      </c>
    </row>
    <row r="107" customFormat="false" ht="17.25" hidden="false" customHeight="false" outlineLevel="0" collapsed="false">
      <c r="B107" s="60"/>
      <c r="C107" s="6" t="s">
        <v>123</v>
      </c>
      <c r="D107" s="61" t="n">
        <v>0.65</v>
      </c>
      <c r="E107" s="62" t="n">
        <f aca="false">E124*D107/100</f>
        <v>50.5464642980968</v>
      </c>
    </row>
    <row r="108" customFormat="false" ht="17.25" hidden="false" customHeight="false" outlineLevel="0" collapsed="false">
      <c r="B108" s="60" t="s">
        <v>124</v>
      </c>
      <c r="C108" s="6" t="s">
        <v>125</v>
      </c>
      <c r="D108" s="61"/>
      <c r="E108" s="62"/>
    </row>
    <row r="109" customFormat="false" ht="17.25" hidden="false" customHeight="false" outlineLevel="0" collapsed="false">
      <c r="B109" s="60" t="s">
        <v>126</v>
      </c>
      <c r="C109" s="6" t="s">
        <v>127</v>
      </c>
      <c r="D109" s="61" t="n">
        <v>5</v>
      </c>
      <c r="E109" s="62" t="n">
        <f aca="false">E124*D109/100</f>
        <v>388.818956139206</v>
      </c>
    </row>
    <row r="110" customFormat="false" ht="17.25" hidden="false" customHeight="false" outlineLevel="0" collapsed="false">
      <c r="B110" s="60" t="s">
        <v>128</v>
      </c>
      <c r="C110" s="6" t="s">
        <v>129</v>
      </c>
      <c r="D110" s="38"/>
      <c r="E110" s="62"/>
    </row>
    <row r="111" customFormat="false" ht="16.05" hidden="false" customHeight="false" outlineLevel="0" collapsed="false"/>
    <row r="112" customFormat="false" ht="17.25" hidden="false" customHeight="false" outlineLevel="0" collapsed="false">
      <c r="B112" s="20" t="s">
        <v>130</v>
      </c>
      <c r="C112" s="20"/>
      <c r="D112" s="2" t="n">
        <v>11.25</v>
      </c>
      <c r="E112" s="33" t="n">
        <f aca="false">SUM(E103:E109)</f>
        <v>1500.8619036048</v>
      </c>
    </row>
    <row r="113" customFormat="false" ht="17.25" hidden="false" customHeight="true" outlineLevel="0" collapsed="false">
      <c r="B113" s="65" t="s">
        <v>131</v>
      </c>
      <c r="C113" s="65"/>
      <c r="D113" s="66" t="n">
        <f aca="false">(1-(D106+D107+D109)/100)</f>
        <v>0.9135</v>
      </c>
      <c r="E113" s="67"/>
    </row>
    <row r="114" customFormat="false" ht="27.7" hidden="false" customHeight="true" outlineLevel="0" collapsed="false">
      <c r="B114" s="65"/>
      <c r="C114" s="65"/>
      <c r="D114" s="68" t="n">
        <f aca="false">(E122+E103+E104)/D113</f>
        <v>7776.37912278412</v>
      </c>
      <c r="E114" s="69"/>
    </row>
    <row r="115" customFormat="false" ht="17.25" hidden="false" customHeight="true" outlineLevel="0" collapsed="false">
      <c r="B115" s="4" t="s">
        <v>132</v>
      </c>
      <c r="C115" s="4"/>
      <c r="D115" s="33"/>
      <c r="E115" s="71"/>
    </row>
    <row r="116" customFormat="false" ht="17.25" hidden="false" customHeight="true" outlineLevel="0" collapsed="false">
      <c r="B116" s="2" t="s">
        <v>133</v>
      </c>
      <c r="C116" s="2"/>
      <c r="D116" s="2"/>
      <c r="E116" s="2"/>
    </row>
    <row r="117" customFormat="false" ht="57.4" hidden="false" customHeight="true" outlineLevel="0" collapsed="false">
      <c r="B117" s="2"/>
      <c r="C117" s="14" t="s">
        <v>134</v>
      </c>
      <c r="D117" s="14"/>
      <c r="E117" s="2" t="s">
        <v>32</v>
      </c>
    </row>
    <row r="118" customFormat="false" ht="17.25" hidden="false" customHeight="false" outlineLevel="0" collapsed="false">
      <c r="B118" s="10" t="s">
        <v>6</v>
      </c>
      <c r="C118" s="34" t="s">
        <v>135</v>
      </c>
      <c r="D118" s="34"/>
      <c r="E118" s="71" t="n">
        <f aca="false">E32</f>
        <v>3083.90264</v>
      </c>
    </row>
    <row r="119" customFormat="false" ht="17.25" hidden="false" customHeight="true" outlineLevel="0" collapsed="false">
      <c r="B119" s="10" t="s">
        <v>8</v>
      </c>
      <c r="C119" s="34" t="s">
        <v>136</v>
      </c>
      <c r="D119" s="34"/>
      <c r="E119" s="23" t="n">
        <f aca="false">E41</f>
        <v>599.625952380952</v>
      </c>
    </row>
    <row r="120" customFormat="false" ht="17.25" hidden="false" customHeight="false" outlineLevel="0" collapsed="false">
      <c r="B120" s="10" t="s">
        <v>11</v>
      </c>
      <c r="C120" s="34" t="s">
        <v>137</v>
      </c>
      <c r="D120" s="34"/>
      <c r="E120" s="71" t="n">
        <f aca="false">E49</f>
        <v>318.910603151397</v>
      </c>
    </row>
    <row r="121" customFormat="false" ht="17.25" hidden="false" customHeight="false" outlineLevel="0" collapsed="false">
      <c r="B121" s="10" t="s">
        <v>14</v>
      </c>
      <c r="C121" s="34" t="s">
        <v>138</v>
      </c>
      <c r="D121" s="34"/>
      <c r="E121" s="23" t="n">
        <f aca="false">E100</f>
        <v>2273.07802364698</v>
      </c>
    </row>
    <row r="122" customFormat="false" ht="17.25" hidden="false" customHeight="false" outlineLevel="0" collapsed="false">
      <c r="B122" s="20" t="s">
        <v>139</v>
      </c>
      <c r="C122" s="20"/>
      <c r="D122" s="20"/>
      <c r="E122" s="72" t="n">
        <f aca="false">SUM(E118:E121)</f>
        <v>6275.51721917933</v>
      </c>
    </row>
    <row r="123" customFormat="false" ht="17.25" hidden="false" customHeight="false" outlineLevel="0" collapsed="false">
      <c r="B123" s="10" t="s">
        <v>37</v>
      </c>
      <c r="C123" s="2" t="s">
        <v>140</v>
      </c>
      <c r="D123" s="2"/>
      <c r="E123" s="23" t="n">
        <f aca="false">E112</f>
        <v>1500.8619036048</v>
      </c>
    </row>
    <row r="124" customFormat="false" ht="17.25" hidden="false" customHeight="false" outlineLevel="0" collapsed="false">
      <c r="B124" s="2" t="s">
        <v>141</v>
      </c>
      <c r="C124" s="2"/>
      <c r="D124" s="2"/>
      <c r="E124" s="73" t="n">
        <f aca="false">(E122+E103+E104)/(1-(D106+D107+D109)/100)</f>
        <v>7776.37912278412</v>
      </c>
    </row>
    <row r="125" customFormat="false" ht="17.25" hidden="false" customHeight="false" outlineLevel="0" collapsed="false">
      <c r="B125" s="2" t="s">
        <v>142</v>
      </c>
      <c r="C125" s="2"/>
      <c r="D125" s="2"/>
      <c r="E125" s="73" t="n">
        <f aca="false">E124*2</f>
        <v>15552.7582455683</v>
      </c>
    </row>
  </sheetData>
  <mergeCells count="58">
    <mergeCell ref="B3:E5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B24:E24"/>
    <mergeCell ref="B32:D32"/>
    <mergeCell ref="B33:E33"/>
    <mergeCell ref="B41:D41"/>
    <mergeCell ref="B42:E42"/>
    <mergeCell ref="B49:D49"/>
    <mergeCell ref="B50:E50"/>
    <mergeCell ref="B51:E51"/>
    <mergeCell ref="B61:C61"/>
    <mergeCell ref="B62:E62"/>
    <mergeCell ref="B66:C66"/>
    <mergeCell ref="B67:E67"/>
    <mergeCell ref="B71:C71"/>
    <mergeCell ref="B72:E72"/>
    <mergeCell ref="B80:C80"/>
    <mergeCell ref="B81:E81"/>
    <mergeCell ref="B89:C89"/>
    <mergeCell ref="B91:C91"/>
    <mergeCell ref="B92:E92"/>
    <mergeCell ref="B100:C100"/>
    <mergeCell ref="B101:E101"/>
    <mergeCell ref="B106:B107"/>
    <mergeCell ref="B112:C112"/>
    <mergeCell ref="B113:C114"/>
    <mergeCell ref="B115:C115"/>
    <mergeCell ref="B116:E116"/>
    <mergeCell ref="C117:D117"/>
    <mergeCell ref="C118:D118"/>
    <mergeCell ref="C119:D119"/>
    <mergeCell ref="C120:D120"/>
    <mergeCell ref="C121:D121"/>
    <mergeCell ref="B122:D122"/>
    <mergeCell ref="C123:D123"/>
    <mergeCell ref="B124:D124"/>
    <mergeCell ref="B125:D1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F127"/>
  <sheetViews>
    <sheetView windowProtection="false" showFormulas="false" showGridLines="true" showRowColHeaders="true" showZeros="true" rightToLeft="false" tabSelected="false" showOutlineSymbols="true" defaultGridColor="true" view="normal" topLeftCell="A31" colorId="64" zoomScale="75" zoomScaleNormal="75" zoomScalePageLayoutView="100" workbookViewId="0">
      <selection pane="topLeft" activeCell="F50" activeCellId="0" sqref="F50"/>
    </sheetView>
  </sheetViews>
  <sheetFormatPr defaultRowHeight="12.85"/>
  <cols>
    <col collapsed="false" hidden="false" max="1" min="1" style="0" width="10.5023255813953"/>
    <col collapsed="false" hidden="false" max="2" min="2" style="0" width="7.18604651162791"/>
    <col collapsed="false" hidden="false" max="3" min="3" style="0" width="52.2790697674419"/>
    <col collapsed="false" hidden="false" max="4" min="4" style="0" width="16.3023255813953"/>
    <col collapsed="false" hidden="false" max="5" min="5" style="0" width="12.7906976744186"/>
    <col collapsed="false" hidden="false" max="6" min="6" style="0" width="14.5116279069767"/>
    <col collapsed="false" hidden="false" max="1025" min="7" style="0" width="10.5023255813953"/>
  </cols>
  <sheetData>
    <row r="3" customFormat="false" ht="16.05" hidden="false" customHeight="false" outlineLevel="0" collapsed="false">
      <c r="B3" s="2" t="s">
        <v>0</v>
      </c>
      <c r="C3" s="2"/>
      <c r="D3" s="2"/>
      <c r="E3" s="2"/>
    </row>
    <row r="4" customFormat="false" ht="16.05" hidden="false" customHeight="false" outlineLevel="0" collapsed="false">
      <c r="B4" s="2"/>
      <c r="C4" s="2"/>
      <c r="D4" s="2"/>
      <c r="E4" s="2"/>
    </row>
    <row r="5" customFormat="false" ht="16.05" hidden="false" customHeight="false" outlineLevel="0" collapsed="false">
      <c r="B5" s="2"/>
      <c r="C5" s="2"/>
      <c r="D5" s="2"/>
      <c r="E5" s="2"/>
    </row>
    <row r="6" customFormat="false" ht="17.25" hidden="false" customHeight="false" outlineLevel="0" collapsed="false">
      <c r="B6" s="4" t="s">
        <v>1</v>
      </c>
      <c r="C6" s="4"/>
      <c r="D6" s="5"/>
      <c r="E6" s="5"/>
    </row>
    <row r="7" customFormat="false" ht="17.25" hidden="false" customHeight="false" outlineLevel="0" collapsed="false">
      <c r="B7" s="4" t="s">
        <v>2</v>
      </c>
      <c r="C7" s="4"/>
      <c r="D7" s="5"/>
      <c r="E7" s="5"/>
    </row>
    <row r="8" customFormat="false" ht="17.25" hidden="false" customHeight="false" outlineLevel="0" collapsed="false">
      <c r="B8" s="4" t="s">
        <v>3</v>
      </c>
      <c r="C8" s="4"/>
      <c r="D8" s="5"/>
      <c r="E8" s="5"/>
    </row>
    <row r="9" customFormat="false" ht="17.25" hidden="false" customHeight="false" outlineLevel="0" collapsed="false">
      <c r="B9" s="4" t="s">
        <v>4</v>
      </c>
      <c r="C9" s="4"/>
      <c r="D9" s="5"/>
      <c r="E9" s="5"/>
    </row>
    <row r="10" customFormat="false" ht="17.25" hidden="false" customHeight="false" outlineLevel="0" collapsed="false">
      <c r="B10" s="2" t="s">
        <v>5</v>
      </c>
      <c r="C10" s="2"/>
      <c r="D10" s="2"/>
      <c r="E10" s="2"/>
    </row>
    <row r="11" customFormat="false" ht="17.25" hidden="false" customHeight="false" outlineLevel="0" collapsed="false">
      <c r="B11" s="6" t="s">
        <v>6</v>
      </c>
      <c r="C11" s="6" t="s">
        <v>7</v>
      </c>
      <c r="D11" s="5"/>
      <c r="E11" s="5"/>
    </row>
    <row r="12" customFormat="false" ht="17.25" hidden="false" customHeight="false" outlineLevel="0" collapsed="false">
      <c r="B12" s="6" t="s">
        <v>8</v>
      </c>
      <c r="C12" s="6" t="s">
        <v>9</v>
      </c>
      <c r="D12" s="2" t="s">
        <v>160</v>
      </c>
      <c r="E12" s="2"/>
    </row>
    <row r="13" customFormat="false" ht="23.9" hidden="false" customHeight="true" outlineLevel="0" collapsed="false">
      <c r="B13" s="6" t="s">
        <v>11</v>
      </c>
      <c r="C13" s="7" t="s">
        <v>12</v>
      </c>
      <c r="D13" s="2" t="s">
        <v>13</v>
      </c>
      <c r="E13" s="2"/>
    </row>
    <row r="14" customFormat="false" ht="17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</row>
    <row r="15" customFormat="false" ht="17.25" hidden="false" customHeight="false" outlineLevel="0" collapsed="false">
      <c r="B15" s="2" t="s">
        <v>16</v>
      </c>
      <c r="C15" s="2"/>
      <c r="D15" s="2"/>
      <c r="E15" s="2"/>
    </row>
    <row r="16" customFormat="false" ht="75.55" hidden="false" customHeight="true" outlineLevel="0" collapsed="false">
      <c r="B16" s="9" t="s">
        <v>17</v>
      </c>
      <c r="C16" s="9"/>
      <c r="D16" s="9" t="s">
        <v>18</v>
      </c>
      <c r="E16" s="9" t="s">
        <v>19</v>
      </c>
    </row>
    <row r="17" customFormat="false" ht="17.25" hidden="false" customHeight="false" outlineLevel="0" collapsed="false">
      <c r="B17" s="2" t="s">
        <v>20</v>
      </c>
      <c r="C17" s="2"/>
      <c r="D17" s="6" t="s">
        <v>21</v>
      </c>
      <c r="E17" s="2" t="n">
        <v>1</v>
      </c>
    </row>
    <row r="18" customFormat="false" ht="17.25" hidden="false" customHeight="false" outlineLevel="0" collapsed="false">
      <c r="B18" s="2" t="s">
        <v>22</v>
      </c>
      <c r="C18" s="2"/>
      <c r="D18" s="2"/>
      <c r="E18" s="2"/>
    </row>
    <row r="19" customFormat="false" ht="17.25" hidden="false" customHeight="false" outlineLevel="0" collapsed="false">
      <c r="B19" s="2" t="s">
        <v>23</v>
      </c>
      <c r="C19" s="2"/>
      <c r="D19" s="2"/>
      <c r="E19" s="2"/>
    </row>
    <row r="20" customFormat="false" ht="17.25" hidden="false" customHeight="false" outlineLevel="0" collapsed="false">
      <c r="B20" s="10" t="n">
        <v>1</v>
      </c>
      <c r="C20" s="6" t="s">
        <v>24</v>
      </c>
      <c r="D20" s="77" t="s">
        <v>25</v>
      </c>
      <c r="E20" s="77"/>
    </row>
    <row r="21" customFormat="false" ht="17.25" hidden="false" customHeight="false" outlineLevel="0" collapsed="false">
      <c r="B21" s="10" t="n">
        <v>2</v>
      </c>
      <c r="C21" s="6" t="s">
        <v>26</v>
      </c>
      <c r="D21" s="12" t="n">
        <v>1602.86</v>
      </c>
      <c r="E21" s="12"/>
    </row>
    <row r="22" customFormat="false" ht="17.25" hidden="false" customHeight="false" outlineLevel="0" collapsed="false">
      <c r="B22" s="10" t="n">
        <v>3</v>
      </c>
      <c r="C22" s="6" t="s">
        <v>27</v>
      </c>
      <c r="D22" s="77" t="s">
        <v>25</v>
      </c>
      <c r="E22" s="77"/>
    </row>
    <row r="23" customFormat="false" ht="17.25" hidden="false" customHeight="false" outlineLevel="0" collapsed="false">
      <c r="B23" s="10" t="n">
        <v>4</v>
      </c>
      <c r="C23" s="6" t="s">
        <v>28</v>
      </c>
      <c r="D23" s="13" t="n">
        <v>42736</v>
      </c>
      <c r="E23" s="13"/>
    </row>
    <row r="24" customFormat="false" ht="17.25" hidden="false" customHeight="false" outlineLevel="0" collapsed="false">
      <c r="B24" s="2" t="s">
        <v>29</v>
      </c>
      <c r="C24" s="2"/>
      <c r="D24" s="2"/>
      <c r="E24" s="2"/>
    </row>
    <row r="25" customFormat="false" ht="17.25" hidden="false" customHeight="false" outlineLevel="0" collapsed="false">
      <c r="B25" s="2" t="n">
        <v>1</v>
      </c>
      <c r="C25" s="2" t="s">
        <v>30</v>
      </c>
      <c r="D25" s="10" t="s">
        <v>31</v>
      </c>
      <c r="E25" s="14" t="s">
        <v>32</v>
      </c>
    </row>
    <row r="26" customFormat="false" ht="17.25" hidden="false" customHeight="false" outlineLevel="0" collapsed="false">
      <c r="B26" s="10" t="s">
        <v>6</v>
      </c>
      <c r="C26" s="6" t="s">
        <v>33</v>
      </c>
      <c r="D26" s="6"/>
      <c r="E26" s="15" t="n">
        <f aca="false">D21</f>
        <v>1602.86</v>
      </c>
    </row>
    <row r="27" customFormat="false" ht="17.25" hidden="false" customHeight="false" outlineLevel="0" collapsed="false">
      <c r="B27" s="10" t="s">
        <v>8</v>
      </c>
      <c r="C27" s="6" t="s">
        <v>34</v>
      </c>
      <c r="D27" s="17" t="n">
        <v>0.3</v>
      </c>
      <c r="E27" s="15" t="n">
        <f aca="false">E26*0.3</f>
        <v>480.858</v>
      </c>
    </row>
    <row r="28" customFormat="false" ht="17.25" hidden="false" customHeight="false" outlineLevel="0" collapsed="false">
      <c r="B28" s="10" t="s">
        <v>11</v>
      </c>
      <c r="C28" s="6" t="s">
        <v>35</v>
      </c>
      <c r="D28" s="17" t="n">
        <v>0.6</v>
      </c>
      <c r="E28" s="15" t="n">
        <f aca="false">(E26+E27)/220*1.6*15</f>
        <v>227.314690909091</v>
      </c>
    </row>
    <row r="29" customFormat="false" ht="15.9" hidden="false" customHeight="false" outlineLevel="0" collapsed="false">
      <c r="B29" s="10" t="s">
        <v>14</v>
      </c>
      <c r="C29" s="6" t="s">
        <v>36</v>
      </c>
      <c r="D29" s="17" t="n">
        <v>0.4</v>
      </c>
      <c r="E29" s="15" t="n">
        <f aca="false">(E26+E27)/220*0.4*8*15</f>
        <v>454.629381818182</v>
      </c>
    </row>
    <row r="30" customFormat="false" ht="15.25" hidden="false" customHeight="false" outlineLevel="0" collapsed="false">
      <c r="B30" s="10" t="s">
        <v>37</v>
      </c>
      <c r="C30" s="6" t="s">
        <v>38</v>
      </c>
      <c r="D30" s="6" t="n">
        <v>15</v>
      </c>
      <c r="E30" s="15" t="n">
        <f aca="false">(E26+E27)*2/220*7.5</f>
        <v>142.071681818182</v>
      </c>
    </row>
    <row r="31" customFormat="false" ht="15.25" hidden="false" customHeight="false" outlineLevel="0" collapsed="false">
      <c r="B31" s="10" t="s">
        <v>39</v>
      </c>
      <c r="C31" s="6" t="s">
        <v>40</v>
      </c>
      <c r="D31" s="19"/>
      <c r="E31" s="15" t="n">
        <f aca="false">(E28+E29+E30)*5/25</f>
        <v>164.803150909091</v>
      </c>
    </row>
    <row r="32" customFormat="false" ht="17.25" hidden="false" customHeight="false" outlineLevel="0" collapsed="false">
      <c r="B32" s="20" t="s">
        <v>41</v>
      </c>
      <c r="C32" s="20"/>
      <c r="D32" s="20"/>
      <c r="E32" s="21" t="n">
        <f aca="false">SUM(E26:E31)</f>
        <v>3072.53690545455</v>
      </c>
    </row>
    <row r="33" customFormat="false" ht="15.25" hidden="false" customHeight="false" outlineLevel="0" collapsed="false">
      <c r="B33" s="2" t="s">
        <v>42</v>
      </c>
      <c r="C33" s="2"/>
      <c r="D33" s="2"/>
      <c r="E33" s="2"/>
    </row>
    <row r="34" customFormat="false" ht="17.25" hidden="false" customHeight="false" outlineLevel="0" collapsed="false">
      <c r="B34" s="2" t="n">
        <v>2</v>
      </c>
      <c r="C34" s="2" t="s">
        <v>43</v>
      </c>
      <c r="D34" s="10"/>
      <c r="E34" s="2" t="s">
        <v>32</v>
      </c>
    </row>
    <row r="35" customFormat="false" ht="15.25" hidden="false" customHeight="false" outlineLevel="0" collapsed="false">
      <c r="B35" s="10" t="s">
        <v>6</v>
      </c>
      <c r="C35" s="6" t="s">
        <v>44</v>
      </c>
      <c r="D35" s="23"/>
      <c r="E35" s="92" t="n">
        <f aca="false">'Equipamentos - FZ- Exp- do Rio Manso'!H102</f>
        <v>150</v>
      </c>
      <c r="F35" s="84" t="s">
        <v>158</v>
      </c>
    </row>
    <row r="36" customFormat="false" ht="15.9" hidden="false" customHeight="false" outlineLevel="0" collapsed="false">
      <c r="B36" s="10" t="s">
        <v>8</v>
      </c>
      <c r="C36" s="6" t="s">
        <v>45</v>
      </c>
      <c r="D36" s="23" t="n">
        <v>15.99</v>
      </c>
      <c r="E36" s="24" t="n">
        <f aca="false">D36*0.9*15</f>
        <v>215.865</v>
      </c>
      <c r="F36" s="85" t="n">
        <v>15</v>
      </c>
    </row>
    <row r="37" customFormat="false" ht="15.25" hidden="false" customHeight="false" outlineLevel="0" collapsed="false">
      <c r="B37" s="10" t="s">
        <v>11</v>
      </c>
      <c r="C37" s="6" t="s">
        <v>46</v>
      </c>
      <c r="D37" s="23"/>
      <c r="E37" s="23" t="n">
        <v>112.9</v>
      </c>
    </row>
    <row r="38" customFormat="false" ht="15.9" hidden="false" customHeight="false" outlineLevel="0" collapsed="false">
      <c r="B38" s="10" t="s">
        <v>14</v>
      </c>
      <c r="C38" s="6" t="s">
        <v>47</v>
      </c>
      <c r="D38" s="6"/>
      <c r="E38" s="23" t="n">
        <v>91.08</v>
      </c>
    </row>
    <row r="39" customFormat="false" ht="15.25" hidden="false" customHeight="false" outlineLevel="0" collapsed="false">
      <c r="B39" s="10" t="s">
        <v>37</v>
      </c>
      <c r="C39" s="6" t="s">
        <v>48</v>
      </c>
      <c r="D39" s="23"/>
      <c r="E39" s="23" t="n">
        <f aca="false">'Média Insumos e benefícios'!E22</f>
        <v>19.0666666666667</v>
      </c>
    </row>
    <row r="40" customFormat="false" ht="15.25" hidden="false" customHeight="false" outlineLevel="0" collapsed="false">
      <c r="B40" s="10" t="s">
        <v>39</v>
      </c>
      <c r="C40" s="6" t="s">
        <v>49</v>
      </c>
      <c r="D40" s="23"/>
      <c r="E40" s="23"/>
    </row>
    <row r="41" customFormat="false" ht="15.25" hidden="false" customHeight="false" outlineLevel="0" collapsed="false">
      <c r="B41" s="34" t="s">
        <v>50</v>
      </c>
      <c r="C41" s="34"/>
      <c r="D41" s="34"/>
      <c r="E41" s="21" t="n">
        <f aca="false">SUM(E35:E40)</f>
        <v>588.911666666667</v>
      </c>
    </row>
    <row r="42" customFormat="false" ht="15.9" hidden="false" customHeight="false" outlineLevel="0" collapsed="false">
      <c r="B42" s="2" t="s">
        <v>51</v>
      </c>
      <c r="C42" s="2"/>
      <c r="D42" s="2"/>
      <c r="E42" s="2"/>
    </row>
    <row r="43" customFormat="false" ht="15.25" hidden="false" customHeight="false" outlineLevel="0" collapsed="false">
      <c r="B43" s="2" t="n">
        <v>3</v>
      </c>
      <c r="C43" s="2" t="s">
        <v>52</v>
      </c>
      <c r="D43" s="10" t="s">
        <v>31</v>
      </c>
      <c r="E43" s="2" t="s">
        <v>32</v>
      </c>
    </row>
    <row r="44" customFormat="false" ht="15.9" hidden="false" customHeight="false" outlineLevel="0" collapsed="false">
      <c r="B44" s="10" t="s">
        <v>6</v>
      </c>
      <c r="C44" s="6" t="s">
        <v>53</v>
      </c>
      <c r="D44" s="6"/>
      <c r="E44" s="23" t="n">
        <f aca="false">'Equipamentos - FZ- Exp- do Rio Manso'!H100</f>
        <v>172.134166666667</v>
      </c>
    </row>
    <row r="45" customFormat="false" ht="15.25" hidden="false" customHeight="false" outlineLevel="0" collapsed="false">
      <c r="B45" s="10" t="s">
        <v>8</v>
      </c>
      <c r="C45" s="6" t="s">
        <v>54</v>
      </c>
      <c r="D45" s="6"/>
      <c r="E45" s="23" t="n">
        <f aca="false">'Equipamentos - FZ- Exp- do Rio Manso'!H98</f>
        <v>17.3624166666667</v>
      </c>
    </row>
    <row r="46" customFormat="false" ht="15.25" hidden="false" customHeight="false" outlineLevel="0" collapsed="false">
      <c r="B46" s="10" t="s">
        <v>11</v>
      </c>
      <c r="C46" s="6" t="s">
        <v>55</v>
      </c>
      <c r="D46" s="6"/>
      <c r="E46" s="23" t="n">
        <f aca="false">'Equipamentos - FZ- Exp- do Rio Manso'!H96</f>
        <v>9.24</v>
      </c>
    </row>
    <row r="47" customFormat="false" ht="15.25" hidden="false" customHeight="false" outlineLevel="0" collapsed="false">
      <c r="B47" s="10" t="s">
        <v>14</v>
      </c>
      <c r="C47" s="6" t="s">
        <v>56</v>
      </c>
      <c r="D47" s="6"/>
      <c r="E47" s="23" t="n">
        <v>4</v>
      </c>
    </row>
    <row r="48" customFormat="false" ht="15.25" hidden="false" customHeight="false" outlineLevel="0" collapsed="false">
      <c r="B48" s="10" t="s">
        <v>37</v>
      </c>
      <c r="C48" s="6" t="s">
        <v>57</v>
      </c>
      <c r="D48" s="6"/>
      <c r="E48" s="23" t="n">
        <f aca="false">'Média Insumos e benefícios'!K18</f>
        <v>128.666666666667</v>
      </c>
    </row>
    <row r="49" customFormat="false" ht="15.25" hidden="false" customHeight="false" outlineLevel="0" collapsed="false">
      <c r="B49" s="20" t="s">
        <v>58</v>
      </c>
      <c r="C49" s="20"/>
      <c r="D49" s="20"/>
      <c r="E49" s="33" t="n">
        <f aca="false">SUM(E44:E48)</f>
        <v>331.40325</v>
      </c>
    </row>
    <row r="50" customFormat="false" ht="15.25" hidden="false" customHeight="false" outlineLevel="0" collapsed="false">
      <c r="B50" s="2" t="s">
        <v>59</v>
      </c>
      <c r="C50" s="2"/>
      <c r="D50" s="2"/>
      <c r="E50" s="2"/>
    </row>
    <row r="51" customFormat="false" ht="17.25" hidden="false" customHeight="false" outlineLevel="0" collapsed="false">
      <c r="B51" s="34" t="s">
        <v>60</v>
      </c>
      <c r="C51" s="34"/>
      <c r="D51" s="34"/>
      <c r="E51" s="34"/>
    </row>
    <row r="52" customFormat="false" ht="15.25" hidden="false" customHeight="false" outlineLevel="0" collapsed="false">
      <c r="B52" s="2" t="s">
        <v>61</v>
      </c>
      <c r="C52" s="2" t="s">
        <v>62</v>
      </c>
      <c r="D52" s="10" t="s">
        <v>31</v>
      </c>
      <c r="E52" s="2" t="s">
        <v>32</v>
      </c>
    </row>
    <row r="53" customFormat="false" ht="15.25" hidden="false" customHeight="false" outlineLevel="0" collapsed="false">
      <c r="B53" s="10" t="s">
        <v>6</v>
      </c>
      <c r="C53" s="6" t="s">
        <v>63</v>
      </c>
      <c r="D53" s="35" t="n">
        <v>0.2</v>
      </c>
      <c r="E53" s="24" t="n">
        <f aca="false">$E$32*D53</f>
        <v>614.507381090909</v>
      </c>
    </row>
    <row r="54" customFormat="false" ht="17.25" hidden="false" customHeight="false" outlineLevel="0" collapsed="false">
      <c r="B54" s="10" t="s">
        <v>8</v>
      </c>
      <c r="C54" s="6" t="s">
        <v>64</v>
      </c>
      <c r="D54" s="35" t="n">
        <v>0.015</v>
      </c>
      <c r="E54" s="24" t="n">
        <f aca="false">$E$32*D54</f>
        <v>46.0880535818182</v>
      </c>
    </row>
    <row r="55" customFormat="false" ht="17.25" hidden="false" customHeight="false" outlineLevel="0" collapsed="false">
      <c r="B55" s="10" t="s">
        <v>11</v>
      </c>
      <c r="C55" s="6" t="s">
        <v>65</v>
      </c>
      <c r="D55" s="35" t="n">
        <v>0.01</v>
      </c>
      <c r="E55" s="24" t="n">
        <f aca="false">$E$32*D55</f>
        <v>30.7253690545455</v>
      </c>
    </row>
    <row r="56" customFormat="false" ht="15.25" hidden="false" customHeight="false" outlineLevel="0" collapsed="false">
      <c r="B56" s="10" t="s">
        <v>14</v>
      </c>
      <c r="C56" s="6" t="s">
        <v>66</v>
      </c>
      <c r="D56" s="35" t="n">
        <v>0.002</v>
      </c>
      <c r="E56" s="24" t="n">
        <f aca="false">$E$32*D56</f>
        <v>6.14507381090909</v>
      </c>
    </row>
    <row r="57" customFormat="false" ht="17.25" hidden="false" customHeight="false" outlineLevel="0" collapsed="false">
      <c r="B57" s="10" t="s">
        <v>37</v>
      </c>
      <c r="C57" s="6" t="s">
        <v>67</v>
      </c>
      <c r="D57" s="35" t="n">
        <v>0.025</v>
      </c>
      <c r="E57" s="24" t="n">
        <f aca="false">$E$32*D57</f>
        <v>76.8134226363636</v>
      </c>
    </row>
    <row r="58" customFormat="false" ht="17.25" hidden="false" customHeight="false" outlineLevel="0" collapsed="false">
      <c r="B58" s="10" t="s">
        <v>39</v>
      </c>
      <c r="C58" s="6" t="s">
        <v>68</v>
      </c>
      <c r="D58" s="35" t="n">
        <v>0.08</v>
      </c>
      <c r="E58" s="24" t="n">
        <f aca="false">$E$32*D58</f>
        <v>245.802952436364</v>
      </c>
    </row>
    <row r="59" customFormat="false" ht="17.25" hidden="false" customHeight="false" outlineLevel="0" collapsed="false">
      <c r="B59" s="10" t="s">
        <v>69</v>
      </c>
      <c r="C59" s="6" t="s">
        <v>70</v>
      </c>
      <c r="D59" s="35" t="n">
        <v>0.03</v>
      </c>
      <c r="E59" s="24" t="n">
        <f aca="false">$E$32*D59</f>
        <v>92.1761071636364</v>
      </c>
    </row>
    <row r="60" customFormat="false" ht="17.25" hidden="false" customHeight="false" outlineLevel="0" collapsed="false">
      <c r="B60" s="10" t="s">
        <v>71</v>
      </c>
      <c r="C60" s="6" t="s">
        <v>72</v>
      </c>
      <c r="D60" s="35" t="n">
        <v>0.006</v>
      </c>
      <c r="E60" s="24" t="n">
        <f aca="false">$E$32*D60</f>
        <v>18.4352214327273</v>
      </c>
    </row>
    <row r="61" customFormat="false" ht="17.25" hidden="false" customHeight="false" outlineLevel="0" collapsed="false">
      <c r="B61" s="20" t="s">
        <v>73</v>
      </c>
      <c r="C61" s="20"/>
      <c r="D61" s="38" t="n">
        <v>0.368</v>
      </c>
      <c r="E61" s="21" t="n">
        <f aca="false">$E$32*D61</f>
        <v>1130.69358120727</v>
      </c>
    </row>
    <row r="62" customFormat="false" ht="17.25" hidden="false" customHeight="false" outlineLevel="0" collapsed="false">
      <c r="B62" s="34" t="s">
        <v>74</v>
      </c>
      <c r="C62" s="34"/>
      <c r="D62" s="34"/>
      <c r="E62" s="34"/>
    </row>
    <row r="63" customFormat="false" ht="17.25" hidden="false" customHeight="false" outlineLevel="0" collapsed="false">
      <c r="B63" s="2" t="s">
        <v>75</v>
      </c>
      <c r="C63" s="34" t="s">
        <v>76</v>
      </c>
      <c r="D63" s="10" t="s">
        <v>31</v>
      </c>
      <c r="E63" s="2" t="s">
        <v>32</v>
      </c>
    </row>
    <row r="64" customFormat="false" ht="17.25" hidden="false" customHeight="false" outlineLevel="0" collapsed="false">
      <c r="B64" s="10" t="s">
        <v>6</v>
      </c>
      <c r="C64" s="6" t="s">
        <v>77</v>
      </c>
      <c r="D64" s="41" t="n">
        <v>0.0833</v>
      </c>
      <c r="E64" s="24" t="n">
        <f aca="false">$E$32*D64</f>
        <v>255.942324224364</v>
      </c>
    </row>
    <row r="65" customFormat="false" ht="20.05" hidden="false" customHeight="true" outlineLevel="0" collapsed="false">
      <c r="B65" s="10" t="s">
        <v>8</v>
      </c>
      <c r="C65" s="7" t="s">
        <v>78</v>
      </c>
      <c r="D65" s="41" t="n">
        <f aca="false">D64*D61</f>
        <v>0.0306544</v>
      </c>
      <c r="E65" s="24" t="n">
        <f aca="false">$E$32*D65</f>
        <v>94.1867753145658</v>
      </c>
    </row>
    <row r="66" customFormat="false" ht="17.25" hidden="false" customHeight="false" outlineLevel="0" collapsed="false">
      <c r="B66" s="20" t="s">
        <v>73</v>
      </c>
      <c r="C66" s="20"/>
      <c r="D66" s="41" t="n">
        <v>0.1139544</v>
      </c>
      <c r="E66" s="21" t="n">
        <f aca="false">$E$32*D66</f>
        <v>350.129099538929</v>
      </c>
    </row>
    <row r="67" customFormat="false" ht="17.25" hidden="false" customHeight="false" outlineLevel="0" collapsed="false">
      <c r="B67" s="34" t="s">
        <v>79</v>
      </c>
      <c r="C67" s="34"/>
      <c r="D67" s="34"/>
      <c r="E67" s="34"/>
    </row>
    <row r="68" customFormat="false" ht="17.25" hidden="false" customHeight="false" outlineLevel="0" collapsed="false">
      <c r="B68" s="2" t="s">
        <v>80</v>
      </c>
      <c r="C68" s="2" t="s">
        <v>81</v>
      </c>
      <c r="D68" s="10" t="s">
        <v>31</v>
      </c>
      <c r="E68" s="2" t="s">
        <v>32</v>
      </c>
    </row>
    <row r="69" customFormat="false" ht="17.25" hidden="false" customHeight="false" outlineLevel="0" collapsed="false">
      <c r="B69" s="10" t="s">
        <v>6</v>
      </c>
      <c r="C69" s="6" t="s">
        <v>81</v>
      </c>
      <c r="D69" s="44" t="n">
        <v>0.00074</v>
      </c>
      <c r="E69" s="24" t="n">
        <f aca="false">$E$32*D69</f>
        <v>2.27367731003636</v>
      </c>
    </row>
    <row r="70" customFormat="false" ht="18.15" hidden="false" customHeight="true" outlineLevel="0" collapsed="false">
      <c r="B70" s="10" t="s">
        <v>8</v>
      </c>
      <c r="C70" s="7" t="s">
        <v>82</v>
      </c>
      <c r="D70" s="44" t="n">
        <f aca="false">D69*D61</f>
        <v>0.00027232</v>
      </c>
      <c r="E70" s="24" t="n">
        <f aca="false">$E$32*D70</f>
        <v>0.836713250093382</v>
      </c>
    </row>
    <row r="71" customFormat="false" ht="17.25" hidden="false" customHeight="false" outlineLevel="0" collapsed="false">
      <c r="B71" s="20" t="s">
        <v>73</v>
      </c>
      <c r="C71" s="20"/>
      <c r="D71" s="46" t="n">
        <v>0.00104</v>
      </c>
      <c r="E71" s="21" t="n">
        <f aca="false">$E$32*D71</f>
        <v>3.19543838167273</v>
      </c>
    </row>
    <row r="72" customFormat="false" ht="17.25" hidden="false" customHeight="false" outlineLevel="0" collapsed="false">
      <c r="B72" s="34" t="s">
        <v>83</v>
      </c>
      <c r="C72" s="34"/>
      <c r="D72" s="34"/>
      <c r="E72" s="34"/>
    </row>
    <row r="73" customFormat="false" ht="17.25" hidden="false" customHeight="false" outlineLevel="0" collapsed="false">
      <c r="B73" s="2" t="s">
        <v>84</v>
      </c>
      <c r="C73" s="2" t="s">
        <v>85</v>
      </c>
      <c r="D73" s="10" t="s">
        <v>31</v>
      </c>
      <c r="E73" s="2" t="s">
        <v>32</v>
      </c>
    </row>
    <row r="74" customFormat="false" ht="17.25" hidden="false" customHeight="false" outlineLevel="0" collapsed="false">
      <c r="B74" s="10" t="s">
        <v>6</v>
      </c>
      <c r="C74" s="6" t="s">
        <v>86</v>
      </c>
      <c r="D74" s="41" t="n">
        <v>0.00416666666666667</v>
      </c>
      <c r="E74" s="24" t="n">
        <f aca="false">$E$32*D74</f>
        <v>12.8022371060606</v>
      </c>
    </row>
    <row r="75" customFormat="false" ht="16.25" hidden="false" customHeight="true" outlineLevel="0" collapsed="false">
      <c r="B75" s="10" t="s">
        <v>8</v>
      </c>
      <c r="C75" s="7" t="s">
        <v>87</v>
      </c>
      <c r="D75" s="41" t="n">
        <v>0.000333333333333333</v>
      </c>
      <c r="E75" s="24" t="n">
        <f aca="false">$E$32*D75</f>
        <v>1.02417896848485</v>
      </c>
    </row>
    <row r="76" customFormat="false" ht="17.25" hidden="false" customHeight="false" outlineLevel="0" collapsed="false">
      <c r="B76" s="10" t="s">
        <v>11</v>
      </c>
      <c r="C76" s="6" t="s">
        <v>88</v>
      </c>
      <c r="D76" s="41" t="n">
        <v>0.043</v>
      </c>
      <c r="E76" s="24" t="n">
        <f aca="false">$E$32*D76</f>
        <v>132.119086934545</v>
      </c>
    </row>
    <row r="77" customFormat="false" ht="17.25" hidden="false" customHeight="false" outlineLevel="0" collapsed="false">
      <c r="B77" s="10" t="s">
        <v>14</v>
      </c>
      <c r="C77" s="6" t="s">
        <v>89</v>
      </c>
      <c r="D77" s="47" t="n">
        <v>0.0194444444444444</v>
      </c>
      <c r="E77" s="24" t="n">
        <f aca="false">$E$32*D77</f>
        <v>59.743773161616</v>
      </c>
    </row>
    <row r="78" customFormat="false" ht="20.05" hidden="false" customHeight="true" outlineLevel="0" collapsed="false">
      <c r="B78" s="10" t="s">
        <v>37</v>
      </c>
      <c r="C78" s="7" t="s">
        <v>90</v>
      </c>
      <c r="D78" s="41" t="n">
        <v>0.00715555555555556</v>
      </c>
      <c r="E78" s="24" t="n">
        <f aca="false">$E$32*D78</f>
        <v>21.9857085234748</v>
      </c>
    </row>
    <row r="79" customFormat="false" ht="17.25" hidden="false" customHeight="false" outlineLevel="0" collapsed="false">
      <c r="B79" s="10" t="s">
        <v>39</v>
      </c>
      <c r="C79" s="6" t="s">
        <v>91</v>
      </c>
      <c r="D79" s="41" t="n">
        <v>0.000776</v>
      </c>
      <c r="E79" s="24" t="n">
        <f aca="false">$E$32*D79</f>
        <v>2.38428863863273</v>
      </c>
    </row>
    <row r="80" customFormat="false" ht="17.25" hidden="false" customHeight="false" outlineLevel="0" collapsed="false">
      <c r="B80" s="20" t="s">
        <v>73</v>
      </c>
      <c r="C80" s="20"/>
      <c r="D80" s="41" t="n">
        <v>0.074876</v>
      </c>
      <c r="E80" s="21" t="n">
        <f aca="false">$E$32*D80</f>
        <v>230.059273332815</v>
      </c>
    </row>
    <row r="81" customFormat="false" ht="17.25" hidden="false" customHeight="false" outlineLevel="0" collapsed="false">
      <c r="B81" s="34" t="s">
        <v>92</v>
      </c>
      <c r="C81" s="34"/>
      <c r="D81" s="34"/>
      <c r="E81" s="34"/>
    </row>
    <row r="82" customFormat="false" ht="21" hidden="false" customHeight="true" outlineLevel="0" collapsed="false">
      <c r="B82" s="2" t="s">
        <v>93</v>
      </c>
      <c r="C82" s="14" t="s">
        <v>94</v>
      </c>
      <c r="D82" s="48" t="s">
        <v>31</v>
      </c>
      <c r="E82" s="2" t="s">
        <v>32</v>
      </c>
    </row>
    <row r="83" customFormat="false" ht="17.25" hidden="false" customHeight="false" outlineLevel="0" collapsed="false">
      <c r="B83" s="10" t="s">
        <v>6</v>
      </c>
      <c r="C83" s="6" t="s">
        <v>95</v>
      </c>
      <c r="D83" s="49" t="n">
        <v>0.1111</v>
      </c>
      <c r="E83" s="24" t="n">
        <f aca="false">$E$32*D83</f>
        <v>341.358850196</v>
      </c>
    </row>
    <row r="84" customFormat="false" ht="17.25" hidden="false" customHeight="false" outlineLevel="0" collapsed="false">
      <c r="B84" s="10" t="s">
        <v>8</v>
      </c>
      <c r="C84" s="6" t="s">
        <v>96</v>
      </c>
      <c r="D84" s="49" t="n">
        <v>0.0166</v>
      </c>
      <c r="E84" s="24" t="n">
        <f aca="false">$E$32*D84</f>
        <v>51.0041126305455</v>
      </c>
    </row>
    <row r="85" customFormat="false" ht="17.25" hidden="false" customHeight="false" outlineLevel="0" collapsed="false">
      <c r="B85" s="10" t="s">
        <v>11</v>
      </c>
      <c r="C85" s="6" t="s">
        <v>97</v>
      </c>
      <c r="D85" s="49" t="n">
        <v>0.0002</v>
      </c>
      <c r="E85" s="24" t="n">
        <f aca="false">$E$32*D85</f>
        <v>0.614507381090909</v>
      </c>
    </row>
    <row r="86" customFormat="false" ht="17.25" hidden="false" customHeight="false" outlineLevel="0" collapsed="false">
      <c r="B86" s="10" t="s">
        <v>14</v>
      </c>
      <c r="C86" s="6" t="s">
        <v>98</v>
      </c>
      <c r="D86" s="49" t="n">
        <v>0.0028</v>
      </c>
      <c r="E86" s="24" t="n">
        <f aca="false">$E$32*D86</f>
        <v>8.60310333527273</v>
      </c>
    </row>
    <row r="87" customFormat="false" ht="17.25" hidden="false" customHeight="false" outlineLevel="0" collapsed="false">
      <c r="B87" s="10" t="s">
        <v>37</v>
      </c>
      <c r="C87" s="6" t="s">
        <v>99</v>
      </c>
      <c r="D87" s="49" t="n">
        <v>0.0003</v>
      </c>
      <c r="E87" s="24" t="n">
        <f aca="false">$E$32*D87</f>
        <v>0.921761071636364</v>
      </c>
    </row>
    <row r="88" customFormat="false" ht="17.25" hidden="false" customHeight="false" outlineLevel="0" collapsed="false">
      <c r="B88" s="10" t="s">
        <v>39</v>
      </c>
      <c r="C88" s="6" t="s">
        <v>100</v>
      </c>
      <c r="D88" s="49"/>
      <c r="E88" s="24" t="n">
        <v>0</v>
      </c>
    </row>
    <row r="89" customFormat="false" ht="17.25" hidden="false" customHeight="false" outlineLevel="0" collapsed="false">
      <c r="B89" s="34" t="s">
        <v>101</v>
      </c>
      <c r="C89" s="34"/>
      <c r="D89" s="53" t="n">
        <v>0.131</v>
      </c>
      <c r="E89" s="21" t="n">
        <f aca="false">$E$32*D89</f>
        <v>402.502334614545</v>
      </c>
    </row>
    <row r="90" customFormat="false" ht="28.7" hidden="false" customHeight="true" outlineLevel="0" collapsed="false">
      <c r="B90" s="10" t="s">
        <v>69</v>
      </c>
      <c r="C90" s="54" t="s">
        <v>102</v>
      </c>
      <c r="D90" s="49" t="n">
        <v>0.048208</v>
      </c>
      <c r="E90" s="24" t="n">
        <f aca="false">$E$32*D90</f>
        <v>148.120859138153</v>
      </c>
    </row>
    <row r="91" customFormat="false" ht="17.25" hidden="false" customHeight="false" outlineLevel="0" collapsed="false">
      <c r="B91" s="20" t="s">
        <v>73</v>
      </c>
      <c r="C91" s="20"/>
      <c r="D91" s="53" t="n">
        <v>0.179208</v>
      </c>
      <c r="E91" s="21" t="n">
        <f aca="false">$E$32*D91</f>
        <v>550.623193752698</v>
      </c>
    </row>
    <row r="92" customFormat="false" ht="30.6" hidden="false" customHeight="true" outlineLevel="0" collapsed="false">
      <c r="B92" s="14" t="s">
        <v>103</v>
      </c>
      <c r="C92" s="14"/>
      <c r="D92" s="14"/>
      <c r="E92" s="14"/>
    </row>
    <row r="93" customFormat="false" ht="17.25" hidden="false" customHeight="false" outlineLevel="0" collapsed="false">
      <c r="B93" s="2" t="n">
        <v>4</v>
      </c>
      <c r="C93" s="2" t="s">
        <v>104</v>
      </c>
      <c r="D93" s="10" t="s">
        <v>31</v>
      </c>
      <c r="E93" s="2" t="s">
        <v>32</v>
      </c>
    </row>
    <row r="94" customFormat="false" ht="17.25" hidden="false" customHeight="false" outlineLevel="0" collapsed="false">
      <c r="B94" s="10" t="s">
        <v>105</v>
      </c>
      <c r="C94" s="6" t="s">
        <v>106</v>
      </c>
      <c r="D94" s="56" t="n">
        <v>0.368</v>
      </c>
      <c r="E94" s="24" t="n">
        <f aca="false">$E$32*D94</f>
        <v>1130.69358120727</v>
      </c>
    </row>
    <row r="95" customFormat="false" ht="17.25" hidden="false" customHeight="false" outlineLevel="0" collapsed="false">
      <c r="B95" s="10" t="s">
        <v>107</v>
      </c>
      <c r="C95" s="6" t="s">
        <v>108</v>
      </c>
      <c r="D95" s="56" t="n">
        <v>0.1139544</v>
      </c>
      <c r="E95" s="24" t="n">
        <f aca="false">$E$32*D95</f>
        <v>350.129099538929</v>
      </c>
    </row>
    <row r="96" customFormat="false" ht="17.25" hidden="false" customHeight="false" outlineLevel="0" collapsed="false">
      <c r="B96" s="10" t="s">
        <v>109</v>
      </c>
      <c r="C96" s="6" t="s">
        <v>110</v>
      </c>
      <c r="D96" s="56" t="n">
        <v>0.00104</v>
      </c>
      <c r="E96" s="24" t="n">
        <f aca="false">$E$32*D96</f>
        <v>3.19543838167273</v>
      </c>
    </row>
    <row r="97" customFormat="false" ht="17.25" hidden="false" customHeight="false" outlineLevel="0" collapsed="false">
      <c r="B97" s="10" t="s">
        <v>111</v>
      </c>
      <c r="C97" s="6" t="s">
        <v>112</v>
      </c>
      <c r="D97" s="56" t="n">
        <v>0.074876</v>
      </c>
      <c r="E97" s="24" t="n">
        <f aca="false">$E$32*D97</f>
        <v>230.059273332815</v>
      </c>
    </row>
    <row r="98" customFormat="false" ht="17.25" hidden="false" customHeight="false" outlineLevel="0" collapsed="false">
      <c r="B98" s="10" t="s">
        <v>113</v>
      </c>
      <c r="C98" s="6" t="s">
        <v>114</v>
      </c>
      <c r="D98" s="56" t="n">
        <v>0.179208</v>
      </c>
      <c r="E98" s="24" t="n">
        <f aca="false">$E$32*D98</f>
        <v>550.623193752698</v>
      </c>
    </row>
    <row r="99" customFormat="false" ht="17.25" hidden="false" customHeight="false" outlineLevel="0" collapsed="false">
      <c r="B99" s="10" t="s">
        <v>115</v>
      </c>
      <c r="C99" s="6" t="s">
        <v>100</v>
      </c>
      <c r="D99" s="56"/>
      <c r="E99" s="24"/>
    </row>
    <row r="100" customFormat="false" ht="17.25" hidden="false" customHeight="false" outlineLevel="0" collapsed="false">
      <c r="B100" s="20" t="s">
        <v>73</v>
      </c>
      <c r="C100" s="20"/>
      <c r="D100" s="57" t="n">
        <v>0.7370784</v>
      </c>
      <c r="E100" s="21" t="n">
        <f aca="false">$E$32*D100</f>
        <v>2264.70058621339</v>
      </c>
    </row>
    <row r="101" customFormat="false" ht="17.2" hidden="false" customHeight="false" outlineLevel="0" collapsed="false">
      <c r="B101" s="2" t="s">
        <v>116</v>
      </c>
      <c r="C101" s="2"/>
      <c r="D101" s="2"/>
      <c r="E101" s="2"/>
    </row>
    <row r="102" customFormat="false" ht="17.25" hidden="false" customHeight="false" outlineLevel="0" collapsed="false">
      <c r="B102" s="2" t="n">
        <v>5</v>
      </c>
      <c r="C102" s="2" t="s">
        <v>117</v>
      </c>
      <c r="D102" s="10" t="s">
        <v>31</v>
      </c>
      <c r="E102" s="2" t="s">
        <v>32</v>
      </c>
    </row>
    <row r="103" customFormat="false" ht="17.25" hidden="false" customHeight="false" outlineLevel="0" collapsed="false">
      <c r="B103" s="10" t="s">
        <v>6</v>
      </c>
      <c r="C103" s="59" t="s">
        <v>118</v>
      </c>
      <c r="D103" s="38" t="n">
        <v>0.06</v>
      </c>
      <c r="E103" s="33" t="n">
        <f aca="false">E122*D103</f>
        <v>375.453144500076</v>
      </c>
    </row>
    <row r="104" customFormat="false" ht="17.25" hidden="false" customHeight="false" outlineLevel="0" collapsed="false">
      <c r="B104" s="10" t="s">
        <v>8</v>
      </c>
      <c r="C104" s="59" t="s">
        <v>119</v>
      </c>
      <c r="D104" s="38" t="n">
        <v>0.0679</v>
      </c>
      <c r="E104" s="33" t="n">
        <f aca="false">(E122+E103)*D104</f>
        <v>450.381077037474</v>
      </c>
    </row>
    <row r="105" customFormat="false" ht="17.25" hidden="false" customHeight="false" outlineLevel="0" collapsed="false">
      <c r="B105" s="10" t="s">
        <v>11</v>
      </c>
      <c r="C105" s="59" t="s">
        <v>120</v>
      </c>
      <c r="D105" s="6"/>
      <c r="E105" s="6"/>
    </row>
    <row r="106" customFormat="false" ht="17.25" hidden="false" customHeight="false" outlineLevel="0" collapsed="false">
      <c r="B106" s="60" t="s">
        <v>121</v>
      </c>
      <c r="C106" s="6" t="s">
        <v>122</v>
      </c>
      <c r="D106" s="61" t="n">
        <v>3</v>
      </c>
      <c r="E106" s="62" t="n">
        <f aca="false">E124*D106/100</f>
        <v>227.639634596855</v>
      </c>
    </row>
    <row r="107" customFormat="false" ht="17.25" hidden="false" customHeight="false" outlineLevel="0" collapsed="false">
      <c r="B107" s="60"/>
      <c r="C107" s="6" t="s">
        <v>123</v>
      </c>
      <c r="D107" s="61" t="n">
        <v>0.65</v>
      </c>
      <c r="E107" s="62" t="n">
        <f aca="false">E124*D107/100</f>
        <v>49.3219208293187</v>
      </c>
    </row>
    <row r="108" customFormat="false" ht="17.25" hidden="false" customHeight="false" outlineLevel="0" collapsed="false">
      <c r="B108" s="60" t="s">
        <v>124</v>
      </c>
      <c r="C108" s="6" t="s">
        <v>125</v>
      </c>
      <c r="D108" s="61"/>
      <c r="E108" s="62"/>
    </row>
    <row r="109" customFormat="false" ht="17.25" hidden="false" customHeight="false" outlineLevel="0" collapsed="false">
      <c r="B109" s="60" t="s">
        <v>126</v>
      </c>
      <c r="C109" s="6" t="s">
        <v>127</v>
      </c>
      <c r="D109" s="61" t="n">
        <v>3</v>
      </c>
      <c r="E109" s="62" t="n">
        <f aca="false">E124*D109/100</f>
        <v>227.639634596855</v>
      </c>
    </row>
    <row r="110" customFormat="false" ht="17.25" hidden="false" customHeight="false" outlineLevel="0" collapsed="false">
      <c r="B110" s="60" t="s">
        <v>128</v>
      </c>
      <c r="C110" s="6" t="s">
        <v>129</v>
      </c>
      <c r="D110" s="38"/>
      <c r="E110" s="62"/>
    </row>
    <row r="111" customFormat="false" ht="16.05" hidden="false" customHeight="false" outlineLevel="0" collapsed="false"/>
    <row r="112" customFormat="false" ht="17.25" hidden="false" customHeight="false" outlineLevel="0" collapsed="false">
      <c r="B112" s="20" t="s">
        <v>130</v>
      </c>
      <c r="C112" s="20"/>
      <c r="D112" s="2" t="n">
        <v>11.25</v>
      </c>
      <c r="E112" s="33" t="n">
        <f aca="false">SUM(E103:E109)</f>
        <v>1330.43541156058</v>
      </c>
    </row>
    <row r="113" customFormat="false" ht="17.25" hidden="false" customHeight="true" outlineLevel="0" collapsed="false">
      <c r="B113" s="65" t="s">
        <v>131</v>
      </c>
      <c r="C113" s="65"/>
      <c r="D113" s="66" t="n">
        <f aca="false">(1-(D106+D107+D109)/100)</f>
        <v>0.9335</v>
      </c>
      <c r="E113" s="67"/>
    </row>
    <row r="114" customFormat="false" ht="27.7" hidden="false" customHeight="true" outlineLevel="0" collapsed="false">
      <c r="B114" s="65"/>
      <c r="C114" s="65"/>
      <c r="D114" s="68" t="n">
        <f aca="false">(E122+E103+E104)/D113</f>
        <v>7587.98781989518</v>
      </c>
      <c r="E114" s="69"/>
    </row>
    <row r="115" customFormat="false" ht="17.25" hidden="false" customHeight="true" outlineLevel="0" collapsed="false">
      <c r="B115" s="4" t="s">
        <v>132</v>
      </c>
      <c r="C115" s="4"/>
      <c r="D115" s="33"/>
      <c r="E115" s="71"/>
    </row>
    <row r="116" customFormat="false" ht="17.25" hidden="false" customHeight="true" outlineLevel="0" collapsed="false">
      <c r="B116" s="2" t="s">
        <v>133</v>
      </c>
      <c r="C116" s="2"/>
      <c r="D116" s="2"/>
      <c r="E116" s="2"/>
    </row>
    <row r="117" customFormat="false" ht="17.25" hidden="false" customHeight="true" outlineLevel="0" collapsed="false">
      <c r="B117" s="2"/>
      <c r="C117" s="14" t="s">
        <v>134</v>
      </c>
      <c r="D117" s="14"/>
      <c r="E117" s="2" t="s">
        <v>32</v>
      </c>
    </row>
    <row r="118" customFormat="false" ht="17.25" hidden="false" customHeight="false" outlineLevel="0" collapsed="false">
      <c r="B118" s="10" t="s">
        <v>6</v>
      </c>
      <c r="C118" s="34" t="s">
        <v>135</v>
      </c>
      <c r="D118" s="34"/>
      <c r="E118" s="71" t="n">
        <f aca="false">E32</f>
        <v>3072.53690545455</v>
      </c>
    </row>
    <row r="119" customFormat="false" ht="17.25" hidden="false" customHeight="true" outlineLevel="0" collapsed="false">
      <c r="B119" s="10" t="s">
        <v>8</v>
      </c>
      <c r="C119" s="34" t="s">
        <v>136</v>
      </c>
      <c r="D119" s="34"/>
      <c r="E119" s="23" t="n">
        <f aca="false">E41</f>
        <v>588.911666666667</v>
      </c>
    </row>
    <row r="120" customFormat="false" ht="17.25" hidden="false" customHeight="false" outlineLevel="0" collapsed="false">
      <c r="B120" s="10" t="s">
        <v>11</v>
      </c>
      <c r="C120" s="34" t="s">
        <v>137</v>
      </c>
      <c r="D120" s="34"/>
      <c r="E120" s="71" t="n">
        <f aca="false">E49</f>
        <v>331.40325</v>
      </c>
    </row>
    <row r="121" customFormat="false" ht="17.25" hidden="false" customHeight="false" outlineLevel="0" collapsed="false">
      <c r="B121" s="10" t="s">
        <v>14</v>
      </c>
      <c r="C121" s="34" t="s">
        <v>138</v>
      </c>
      <c r="D121" s="34"/>
      <c r="E121" s="23" t="n">
        <f aca="false">E100</f>
        <v>2264.70058621339</v>
      </c>
    </row>
    <row r="122" customFormat="false" ht="17.25" hidden="false" customHeight="false" outlineLevel="0" collapsed="false">
      <c r="B122" s="20" t="s">
        <v>139</v>
      </c>
      <c r="C122" s="20"/>
      <c r="D122" s="20"/>
      <c r="E122" s="72" t="n">
        <f aca="false">SUM(E118:E121)</f>
        <v>6257.5524083346</v>
      </c>
    </row>
    <row r="123" customFormat="false" ht="17.25" hidden="false" customHeight="false" outlineLevel="0" collapsed="false">
      <c r="B123" s="10" t="s">
        <v>37</v>
      </c>
      <c r="C123" s="2" t="s">
        <v>140</v>
      </c>
      <c r="D123" s="2"/>
      <c r="E123" s="23" t="n">
        <f aca="false">E112</f>
        <v>1330.43541156058</v>
      </c>
    </row>
    <row r="124" customFormat="false" ht="17.25" hidden="false" customHeight="false" outlineLevel="0" collapsed="false">
      <c r="B124" s="2" t="s">
        <v>141</v>
      </c>
      <c r="C124" s="2"/>
      <c r="D124" s="2"/>
      <c r="E124" s="73" t="n">
        <f aca="false">(E122+E103+E104)/(1-(D106+D107+D109)/100)</f>
        <v>7587.98781989518</v>
      </c>
    </row>
    <row r="125" customFormat="false" ht="15.9" hidden="false" customHeight="false" outlineLevel="0" collapsed="false">
      <c r="B125" s="2" t="s">
        <v>142</v>
      </c>
      <c r="C125" s="2"/>
      <c r="D125" s="2"/>
      <c r="E125" s="73" t="n">
        <f aca="false">E124*2</f>
        <v>15175.9756397904</v>
      </c>
    </row>
    <row r="127" customFormat="false" ht="16.05" hidden="false" customHeight="false" outlineLevel="0" collapsed="false"/>
  </sheetData>
  <mergeCells count="58">
    <mergeCell ref="B3:E5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B24:E24"/>
    <mergeCell ref="B32:D32"/>
    <mergeCell ref="B33:E33"/>
    <mergeCell ref="B41:D41"/>
    <mergeCell ref="B42:E42"/>
    <mergeCell ref="B49:D49"/>
    <mergeCell ref="B50:E50"/>
    <mergeCell ref="B51:E51"/>
    <mergeCell ref="B61:C61"/>
    <mergeCell ref="B62:E62"/>
    <mergeCell ref="B66:C66"/>
    <mergeCell ref="B67:E67"/>
    <mergeCell ref="B71:C71"/>
    <mergeCell ref="B72:E72"/>
    <mergeCell ref="B80:C80"/>
    <mergeCell ref="B81:E81"/>
    <mergeCell ref="B89:C89"/>
    <mergeCell ref="B91:C91"/>
    <mergeCell ref="B92:E92"/>
    <mergeCell ref="B100:C100"/>
    <mergeCell ref="B101:E101"/>
    <mergeCell ref="B106:B107"/>
    <mergeCell ref="B112:C112"/>
    <mergeCell ref="B113:C114"/>
    <mergeCell ref="B115:C115"/>
    <mergeCell ref="B116:E116"/>
    <mergeCell ref="C117:D117"/>
    <mergeCell ref="C118:D118"/>
    <mergeCell ref="C119:D119"/>
    <mergeCell ref="C120:D120"/>
    <mergeCell ref="C121:D121"/>
    <mergeCell ref="B122:D122"/>
    <mergeCell ref="C123:D123"/>
    <mergeCell ref="B124:D124"/>
    <mergeCell ref="B125:D1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F129"/>
  <sheetViews>
    <sheetView windowProtection="false" showFormulas="false" showGridLines="true" showRowColHeaders="true" showZeros="true" rightToLeft="false" tabSelected="false" showOutlineSymbols="true" defaultGridColor="true" view="normal" topLeftCell="A28" colorId="64" zoomScale="75" zoomScaleNormal="75" zoomScalePageLayoutView="100" workbookViewId="0">
      <selection pane="topLeft" activeCell="G51" activeCellId="0" sqref="G51"/>
    </sheetView>
  </sheetViews>
  <sheetFormatPr defaultRowHeight="12.85"/>
  <cols>
    <col collapsed="false" hidden="false" max="2" min="1" style="0" width="10.5023255813953"/>
    <col collapsed="false" hidden="false" max="3" min="3" style="0" width="53.3674418604651"/>
    <col collapsed="false" hidden="false" max="4" min="4" style="0" width="14.5116279069767"/>
    <col collapsed="false" hidden="false" max="5" min="5" style="0" width="15.0232558139535"/>
    <col collapsed="false" hidden="false" max="6" min="6" style="0" width="14.5116279069767"/>
    <col collapsed="false" hidden="false" max="1025" min="7" style="0" width="10.5023255813953"/>
  </cols>
  <sheetData>
    <row r="1" customFormat="false" ht="16.05" hidden="false" customHeight="false" outlineLevel="0" collapsed="false"/>
    <row r="3" customFormat="false" ht="16.05" hidden="false" customHeight="false" outlineLevel="0" collapsed="false">
      <c r="B3" s="2" t="s">
        <v>0</v>
      </c>
      <c r="C3" s="2"/>
      <c r="D3" s="2"/>
      <c r="E3" s="2"/>
    </row>
    <row r="4" customFormat="false" ht="16.05" hidden="false" customHeight="false" outlineLevel="0" collapsed="false">
      <c r="B4" s="2"/>
      <c r="C4" s="2"/>
      <c r="D4" s="2"/>
      <c r="E4" s="2"/>
    </row>
    <row r="5" customFormat="false" ht="16.05" hidden="false" customHeight="false" outlineLevel="0" collapsed="false">
      <c r="B5" s="2"/>
      <c r="C5" s="2"/>
      <c r="D5" s="2"/>
      <c r="E5" s="2"/>
    </row>
    <row r="6" customFormat="false" ht="17.25" hidden="false" customHeight="false" outlineLevel="0" collapsed="false">
      <c r="B6" s="4" t="s">
        <v>1</v>
      </c>
      <c r="C6" s="4"/>
      <c r="D6" s="5"/>
      <c r="E6" s="5"/>
    </row>
    <row r="7" customFormat="false" ht="17.25" hidden="false" customHeight="false" outlineLevel="0" collapsed="false">
      <c r="B7" s="4" t="s">
        <v>2</v>
      </c>
      <c r="C7" s="4"/>
      <c r="D7" s="5"/>
      <c r="E7" s="5"/>
    </row>
    <row r="8" customFormat="false" ht="17.25" hidden="false" customHeight="false" outlineLevel="0" collapsed="false">
      <c r="B8" s="4" t="s">
        <v>3</v>
      </c>
      <c r="C8" s="4"/>
      <c r="D8" s="5"/>
      <c r="E8" s="5"/>
    </row>
    <row r="9" customFormat="false" ht="17.25" hidden="false" customHeight="false" outlineLevel="0" collapsed="false">
      <c r="B9" s="4" t="s">
        <v>4</v>
      </c>
      <c r="C9" s="4"/>
      <c r="D9" s="5"/>
      <c r="E9" s="5"/>
    </row>
    <row r="10" customFormat="false" ht="17.25" hidden="false" customHeight="false" outlineLevel="0" collapsed="false">
      <c r="B10" s="2" t="s">
        <v>5</v>
      </c>
      <c r="C10" s="2"/>
      <c r="D10" s="2"/>
      <c r="E10" s="2"/>
    </row>
    <row r="11" customFormat="false" ht="17.25" hidden="false" customHeight="false" outlineLevel="0" collapsed="false">
      <c r="B11" s="6" t="s">
        <v>6</v>
      </c>
      <c r="C11" s="6" t="s">
        <v>7</v>
      </c>
      <c r="D11" s="5"/>
      <c r="E11" s="5"/>
    </row>
    <row r="12" customFormat="false" ht="17.25" hidden="false" customHeight="false" outlineLevel="0" collapsed="false">
      <c r="B12" s="6" t="s">
        <v>8</v>
      </c>
      <c r="C12" s="6" t="s">
        <v>9</v>
      </c>
      <c r="D12" s="2" t="s">
        <v>160</v>
      </c>
      <c r="E12" s="2"/>
    </row>
    <row r="13" customFormat="false" ht="17.25" hidden="false" customHeight="false" outlineLevel="0" collapsed="false">
      <c r="B13" s="6" t="s">
        <v>11</v>
      </c>
      <c r="C13" s="7" t="s">
        <v>12</v>
      </c>
      <c r="D13" s="2" t="s">
        <v>13</v>
      </c>
      <c r="E13" s="2"/>
    </row>
    <row r="14" customFormat="false" ht="17.25" hidden="false" customHeight="false" outlineLevel="0" collapsed="false">
      <c r="B14" s="6" t="s">
        <v>14</v>
      </c>
      <c r="C14" s="6" t="s">
        <v>15</v>
      </c>
      <c r="D14" s="2" t="n">
        <v>12</v>
      </c>
      <c r="E14" s="2"/>
    </row>
    <row r="15" customFormat="false" ht="17.25" hidden="false" customHeight="false" outlineLevel="0" collapsed="false">
      <c r="B15" s="2" t="s">
        <v>16</v>
      </c>
      <c r="C15" s="2"/>
      <c r="D15" s="2"/>
      <c r="E15" s="2"/>
    </row>
    <row r="16" customFormat="false" ht="57.4" hidden="false" customHeight="true" outlineLevel="0" collapsed="false">
      <c r="B16" s="9" t="s">
        <v>17</v>
      </c>
      <c r="C16" s="9"/>
      <c r="D16" s="9" t="s">
        <v>18</v>
      </c>
      <c r="E16" s="9" t="s">
        <v>19</v>
      </c>
    </row>
    <row r="17" customFormat="false" ht="17.25" hidden="false" customHeight="false" outlineLevel="0" collapsed="false">
      <c r="B17" s="2" t="s">
        <v>20</v>
      </c>
      <c r="C17" s="2"/>
      <c r="D17" s="6" t="s">
        <v>21</v>
      </c>
      <c r="E17" s="2" t="n">
        <v>1</v>
      </c>
    </row>
    <row r="18" customFormat="false" ht="17.25" hidden="false" customHeight="false" outlineLevel="0" collapsed="false">
      <c r="B18" s="2" t="s">
        <v>22</v>
      </c>
      <c r="C18" s="2"/>
      <c r="D18" s="2"/>
      <c r="E18" s="2"/>
    </row>
    <row r="19" customFormat="false" ht="17.25" hidden="false" customHeight="false" outlineLevel="0" collapsed="false">
      <c r="B19" s="2" t="s">
        <v>23</v>
      </c>
      <c r="C19" s="2"/>
      <c r="D19" s="2"/>
      <c r="E19" s="2"/>
    </row>
    <row r="20" customFormat="false" ht="17.25" hidden="false" customHeight="false" outlineLevel="0" collapsed="false">
      <c r="B20" s="10" t="n">
        <v>1</v>
      </c>
      <c r="C20" s="6" t="s">
        <v>24</v>
      </c>
      <c r="D20" s="77" t="s">
        <v>156</v>
      </c>
      <c r="E20" s="77"/>
    </row>
    <row r="21" customFormat="false" ht="17.25" hidden="false" customHeight="false" outlineLevel="0" collapsed="false">
      <c r="B21" s="10" t="n">
        <v>2</v>
      </c>
      <c r="C21" s="6" t="s">
        <v>26</v>
      </c>
      <c r="D21" s="12" t="n">
        <v>1602.86</v>
      </c>
      <c r="E21" s="12"/>
    </row>
    <row r="22" customFormat="false" ht="17.25" hidden="false" customHeight="false" outlineLevel="0" collapsed="false">
      <c r="B22" s="10" t="n">
        <v>3</v>
      </c>
      <c r="C22" s="6" t="s">
        <v>27</v>
      </c>
      <c r="D22" s="77" t="s">
        <v>156</v>
      </c>
      <c r="E22" s="77"/>
    </row>
    <row r="23" customFormat="false" ht="17.25" hidden="false" customHeight="false" outlineLevel="0" collapsed="false">
      <c r="B23" s="10" t="n">
        <v>4</v>
      </c>
      <c r="C23" s="6" t="s">
        <v>28</v>
      </c>
      <c r="D23" s="13" t="n">
        <v>42736</v>
      </c>
      <c r="E23" s="13"/>
    </row>
    <row r="24" customFormat="false" ht="17.25" hidden="false" customHeight="false" outlineLevel="0" collapsed="false">
      <c r="B24" s="2" t="s">
        <v>29</v>
      </c>
      <c r="C24" s="2"/>
      <c r="D24" s="2"/>
      <c r="E24" s="2"/>
    </row>
    <row r="25" customFormat="false" ht="17.25" hidden="false" customHeight="false" outlineLevel="0" collapsed="false">
      <c r="B25" s="2" t="n">
        <v>1</v>
      </c>
      <c r="C25" s="2" t="s">
        <v>30</v>
      </c>
      <c r="D25" s="10" t="s">
        <v>31</v>
      </c>
      <c r="E25" s="14" t="s">
        <v>32</v>
      </c>
    </row>
    <row r="26" customFormat="false" ht="15.9" hidden="false" customHeight="false" outlineLevel="0" collapsed="false">
      <c r="B26" s="10" t="s">
        <v>6</v>
      </c>
      <c r="C26" s="6" t="s">
        <v>161</v>
      </c>
      <c r="D26" s="6"/>
      <c r="E26" s="74" t="n">
        <f aca="false">D21</f>
        <v>1602.86</v>
      </c>
    </row>
    <row r="27" customFormat="false" ht="15.9" hidden="false" customHeight="false" outlineLevel="0" collapsed="false">
      <c r="B27" s="10" t="s">
        <v>8</v>
      </c>
      <c r="C27" s="6" t="s">
        <v>34</v>
      </c>
      <c r="D27" s="17" t="n">
        <v>0.3</v>
      </c>
      <c r="E27" s="74" t="n">
        <f aca="false">E26*0.3</f>
        <v>480.858</v>
      </c>
    </row>
    <row r="28" customFormat="false" ht="15.9" hidden="false" customHeight="false" outlineLevel="0" collapsed="false">
      <c r="B28" s="10" t="s">
        <v>11</v>
      </c>
      <c r="C28" s="6" t="s">
        <v>35</v>
      </c>
      <c r="D28" s="17" t="n">
        <v>0.6</v>
      </c>
      <c r="E28" s="74" t="n">
        <f aca="false">(E26+E27)/220*1.6*15</f>
        <v>227.314690909091</v>
      </c>
    </row>
    <row r="29" customFormat="false" ht="15.25" hidden="false" customHeight="false" outlineLevel="0" collapsed="false">
      <c r="B29" s="10" t="s">
        <v>14</v>
      </c>
      <c r="C29" s="6" t="s">
        <v>36</v>
      </c>
      <c r="D29" s="17"/>
      <c r="E29" s="74"/>
    </row>
    <row r="30" customFormat="false" ht="15.9" hidden="false" customHeight="false" outlineLevel="0" collapsed="false">
      <c r="B30" s="10" t="s">
        <v>37</v>
      </c>
      <c r="C30" s="6" t="s">
        <v>38</v>
      </c>
      <c r="D30" s="6" t="n">
        <v>15</v>
      </c>
      <c r="E30" s="74" t="n">
        <f aca="false">(E26+E27)*2/220*7.5</f>
        <v>142.071681818182</v>
      </c>
    </row>
    <row r="31" customFormat="false" ht="15.9" hidden="false" customHeight="false" outlineLevel="0" collapsed="false">
      <c r="B31" s="10" t="s">
        <v>39</v>
      </c>
      <c r="C31" s="6" t="s">
        <v>40</v>
      </c>
      <c r="D31" s="19"/>
      <c r="E31" s="74" t="n">
        <f aca="false">(E28+E29+E30)*5/25</f>
        <v>73.8772745454546</v>
      </c>
    </row>
    <row r="32" customFormat="false" ht="15.9" hidden="false" customHeight="false" outlineLevel="0" collapsed="false">
      <c r="B32" s="20" t="s">
        <v>41</v>
      </c>
      <c r="C32" s="20"/>
      <c r="D32" s="20"/>
      <c r="E32" s="75" t="n">
        <f aca="false">SUM(E26:E31)</f>
        <v>2526.98164727273</v>
      </c>
    </row>
    <row r="33" customFormat="false" ht="15.25" hidden="false" customHeight="false" outlineLevel="0" collapsed="false">
      <c r="B33" s="2" t="s">
        <v>42</v>
      </c>
      <c r="C33" s="2"/>
      <c r="D33" s="2"/>
      <c r="E33" s="2"/>
    </row>
    <row r="34" customFormat="false" ht="17.25" hidden="false" customHeight="false" outlineLevel="0" collapsed="false">
      <c r="B34" s="2" t="n">
        <v>2</v>
      </c>
      <c r="C34" s="2" t="s">
        <v>43</v>
      </c>
      <c r="D34" s="10"/>
      <c r="E34" s="2" t="s">
        <v>32</v>
      </c>
    </row>
    <row r="35" customFormat="false" ht="15.25" hidden="false" customHeight="false" outlineLevel="0" collapsed="false">
      <c r="B35" s="10" t="s">
        <v>6</v>
      </c>
      <c r="C35" s="6" t="s">
        <v>44</v>
      </c>
      <c r="D35" s="23"/>
      <c r="E35" s="24" t="n">
        <f aca="false">'Equipamentos - FZ- Exp- do Rio Manso'!H102</f>
        <v>150</v>
      </c>
      <c r="F35" s="84" t="s">
        <v>158</v>
      </c>
    </row>
    <row r="36" customFormat="false" ht="15.9" hidden="false" customHeight="false" outlineLevel="0" collapsed="false">
      <c r="B36" s="10" t="s">
        <v>8</v>
      </c>
      <c r="C36" s="6" t="s">
        <v>45</v>
      </c>
      <c r="D36" s="23" t="n">
        <v>15.99</v>
      </c>
      <c r="E36" s="24" t="n">
        <f aca="false">D36*0.9*15</f>
        <v>215.865</v>
      </c>
      <c r="F36" s="85" t="n">
        <v>15</v>
      </c>
    </row>
    <row r="37" customFormat="false" ht="15.25" hidden="false" customHeight="false" outlineLevel="0" collapsed="false">
      <c r="B37" s="10" t="s">
        <v>11</v>
      </c>
      <c r="C37" s="6" t="s">
        <v>46</v>
      </c>
      <c r="D37" s="23"/>
      <c r="E37" s="23" t="n">
        <v>112.9</v>
      </c>
    </row>
    <row r="38" customFormat="false" ht="15.9" hidden="false" customHeight="false" outlineLevel="0" collapsed="false">
      <c r="B38" s="10" t="s">
        <v>14</v>
      </c>
      <c r="C38" s="6" t="s">
        <v>47</v>
      </c>
      <c r="D38" s="6"/>
      <c r="E38" s="23" t="n">
        <v>91.08</v>
      </c>
    </row>
    <row r="39" customFormat="false" ht="15.25" hidden="false" customHeight="false" outlineLevel="0" collapsed="false">
      <c r="B39" s="10" t="s">
        <v>37</v>
      </c>
      <c r="C39" s="6" t="s">
        <v>48</v>
      </c>
      <c r="D39" s="23"/>
      <c r="E39" s="23" t="n">
        <f aca="false">'Média Insumos e benefícios'!E18</f>
        <v>19.0666666666667</v>
      </c>
    </row>
    <row r="40" customFormat="false" ht="15.25" hidden="false" customHeight="false" outlineLevel="0" collapsed="false">
      <c r="B40" s="10" t="s">
        <v>39</v>
      </c>
      <c r="C40" s="6" t="s">
        <v>49</v>
      </c>
      <c r="D40" s="23"/>
      <c r="E40" s="23"/>
    </row>
    <row r="41" customFormat="false" ht="15.25" hidden="false" customHeight="false" outlineLevel="0" collapsed="false">
      <c r="B41" s="20" t="s">
        <v>50</v>
      </c>
      <c r="C41" s="20"/>
      <c r="D41" s="20"/>
      <c r="E41" s="21" t="n">
        <f aca="false">SUM(E35:E40)</f>
        <v>588.911666666667</v>
      </c>
    </row>
    <row r="42" customFormat="false" ht="17.2" hidden="false" customHeight="false" outlineLevel="0" collapsed="false">
      <c r="B42" s="2" t="s">
        <v>51</v>
      </c>
      <c r="C42" s="2"/>
      <c r="D42" s="2"/>
      <c r="E42" s="2"/>
    </row>
    <row r="43" customFormat="false" ht="15.25" hidden="false" customHeight="false" outlineLevel="0" collapsed="false">
      <c r="B43" s="2" t="n">
        <v>3</v>
      </c>
      <c r="C43" s="2" t="s">
        <v>52</v>
      </c>
      <c r="D43" s="10" t="s">
        <v>31</v>
      </c>
      <c r="E43" s="2" t="s">
        <v>32</v>
      </c>
    </row>
    <row r="44" customFormat="false" ht="15.9" hidden="false" customHeight="false" outlineLevel="0" collapsed="false">
      <c r="B44" s="10" t="s">
        <v>6</v>
      </c>
      <c r="C44" s="6" t="s">
        <v>53</v>
      </c>
      <c r="D44" s="6"/>
      <c r="E44" s="23" t="n">
        <f aca="false">'Equipamentos - FZ- Exp- do Rio Manso'!H100</f>
        <v>172.134166666667</v>
      </c>
    </row>
    <row r="45" customFormat="false" ht="15.25" hidden="false" customHeight="false" outlineLevel="0" collapsed="false">
      <c r="B45" s="10" t="s">
        <v>8</v>
      </c>
      <c r="C45" s="6" t="s">
        <v>54</v>
      </c>
      <c r="D45" s="6"/>
      <c r="E45" s="23" t="n">
        <f aca="false">'Equipamentos - FZ- Exp- do Rio Manso'!H98</f>
        <v>17.3624166666667</v>
      </c>
    </row>
    <row r="46" customFormat="false" ht="15.25" hidden="false" customHeight="false" outlineLevel="0" collapsed="false">
      <c r="B46" s="10" t="s">
        <v>11</v>
      </c>
      <c r="C46" s="6" t="s">
        <v>55</v>
      </c>
      <c r="D46" s="6"/>
      <c r="E46" s="23" t="n">
        <f aca="false">'Equipamentos - FZ- Exp- do Rio Manso'!H96</f>
        <v>9.24</v>
      </c>
    </row>
    <row r="47" customFormat="false" ht="15.25" hidden="false" customHeight="false" outlineLevel="0" collapsed="false">
      <c r="B47" s="10" t="s">
        <v>14</v>
      </c>
      <c r="C47" s="6" t="s">
        <v>56</v>
      </c>
      <c r="D47" s="6"/>
      <c r="E47" s="23" t="n">
        <v>4</v>
      </c>
    </row>
    <row r="48" customFormat="false" ht="15.25" hidden="false" customHeight="false" outlineLevel="0" collapsed="false">
      <c r="B48" s="10" t="s">
        <v>37</v>
      </c>
      <c r="C48" s="6" t="s">
        <v>57</v>
      </c>
      <c r="D48" s="6"/>
      <c r="E48" s="23" t="n">
        <f aca="false">'Média Insumos e benefícios'!K16</f>
        <v>128.666666666667</v>
      </c>
    </row>
    <row r="49" customFormat="false" ht="15.25" hidden="false" customHeight="false" outlineLevel="0" collapsed="false">
      <c r="B49" s="20" t="s">
        <v>58</v>
      </c>
      <c r="C49" s="20"/>
      <c r="D49" s="20"/>
      <c r="E49" s="33" t="n">
        <f aca="false">SUM(E44:E48)</f>
        <v>331.40325</v>
      </c>
    </row>
    <row r="50" customFormat="false" ht="17.25" hidden="false" customHeight="false" outlineLevel="0" collapsed="false">
      <c r="B50" s="2" t="s">
        <v>59</v>
      </c>
      <c r="C50" s="2"/>
      <c r="D50" s="2"/>
      <c r="E50" s="2"/>
    </row>
    <row r="51" customFormat="false" ht="15.25" hidden="false" customHeight="false" outlineLevel="0" collapsed="false">
      <c r="B51" s="34" t="s">
        <v>60</v>
      </c>
      <c r="C51" s="34"/>
      <c r="D51" s="34"/>
      <c r="E51" s="34"/>
    </row>
    <row r="52" customFormat="false" ht="17.25" hidden="false" customHeight="false" outlineLevel="0" collapsed="false">
      <c r="B52" s="2" t="s">
        <v>61</v>
      </c>
      <c r="C52" s="2" t="s">
        <v>62</v>
      </c>
      <c r="D52" s="10" t="s">
        <v>31</v>
      </c>
      <c r="E52" s="2" t="s">
        <v>32</v>
      </c>
    </row>
    <row r="53" customFormat="false" ht="17.25" hidden="false" customHeight="false" outlineLevel="0" collapsed="false">
      <c r="B53" s="10" t="s">
        <v>6</v>
      </c>
      <c r="C53" s="6" t="s">
        <v>63</v>
      </c>
      <c r="D53" s="35" t="n">
        <v>0.2</v>
      </c>
      <c r="E53" s="24" t="n">
        <f aca="false">$E$32*D53</f>
        <v>505.396329454545</v>
      </c>
    </row>
    <row r="54" customFormat="false" ht="17.25" hidden="false" customHeight="false" outlineLevel="0" collapsed="false">
      <c r="B54" s="10" t="s">
        <v>8</v>
      </c>
      <c r="C54" s="6" t="s">
        <v>64</v>
      </c>
      <c r="D54" s="35" t="n">
        <v>0.015</v>
      </c>
      <c r="E54" s="24" t="n">
        <f aca="false">$E$32*D54</f>
        <v>37.9047247090909</v>
      </c>
    </row>
    <row r="55" customFormat="false" ht="17.25" hidden="false" customHeight="false" outlineLevel="0" collapsed="false">
      <c r="B55" s="10" t="s">
        <v>11</v>
      </c>
      <c r="C55" s="6" t="s">
        <v>65</v>
      </c>
      <c r="D55" s="35" t="n">
        <v>0.01</v>
      </c>
      <c r="E55" s="24" t="n">
        <f aca="false">$E$32*D55</f>
        <v>25.2698164727273</v>
      </c>
    </row>
    <row r="56" customFormat="false" ht="17.25" hidden="false" customHeight="false" outlineLevel="0" collapsed="false">
      <c r="B56" s="10" t="s">
        <v>14</v>
      </c>
      <c r="C56" s="6" t="s">
        <v>66</v>
      </c>
      <c r="D56" s="35" t="n">
        <v>0.002</v>
      </c>
      <c r="E56" s="24" t="n">
        <f aca="false">$E$32*D56</f>
        <v>5.05396329454545</v>
      </c>
    </row>
    <row r="57" customFormat="false" ht="17.25" hidden="false" customHeight="false" outlineLevel="0" collapsed="false">
      <c r="B57" s="10" t="s">
        <v>37</v>
      </c>
      <c r="C57" s="6" t="s">
        <v>67</v>
      </c>
      <c r="D57" s="35" t="n">
        <v>0.025</v>
      </c>
      <c r="E57" s="24" t="n">
        <f aca="false">$E$32*D57</f>
        <v>63.1745411818182</v>
      </c>
    </row>
    <row r="58" customFormat="false" ht="17.25" hidden="false" customHeight="false" outlineLevel="0" collapsed="false">
      <c r="B58" s="10" t="s">
        <v>39</v>
      </c>
      <c r="C58" s="6" t="s">
        <v>68</v>
      </c>
      <c r="D58" s="35" t="n">
        <v>0.08</v>
      </c>
      <c r="E58" s="24" t="n">
        <f aca="false">$E$32*D58</f>
        <v>202.158531781818</v>
      </c>
    </row>
    <row r="59" customFormat="false" ht="17.25" hidden="false" customHeight="false" outlineLevel="0" collapsed="false">
      <c r="B59" s="10" t="s">
        <v>69</v>
      </c>
      <c r="C59" s="6" t="s">
        <v>70</v>
      </c>
      <c r="D59" s="35" t="n">
        <v>0.03</v>
      </c>
      <c r="E59" s="24" t="n">
        <f aca="false">$E$32*D59</f>
        <v>75.8094494181818</v>
      </c>
    </row>
    <row r="60" customFormat="false" ht="17.25" hidden="false" customHeight="false" outlineLevel="0" collapsed="false">
      <c r="B60" s="10" t="s">
        <v>71</v>
      </c>
      <c r="C60" s="6" t="s">
        <v>72</v>
      </c>
      <c r="D60" s="35" t="n">
        <v>0.006</v>
      </c>
      <c r="E60" s="24" t="n">
        <f aca="false">$E$32*D60</f>
        <v>15.1618898836364</v>
      </c>
    </row>
    <row r="61" customFormat="false" ht="15.25" hidden="false" customHeight="false" outlineLevel="0" collapsed="false">
      <c r="B61" s="20" t="s">
        <v>73</v>
      </c>
      <c r="C61" s="20"/>
      <c r="D61" s="38" t="n">
        <v>0.368</v>
      </c>
      <c r="E61" s="21" t="n">
        <f aca="false">$E$32*D61</f>
        <v>929.929246196364</v>
      </c>
    </row>
    <row r="62" customFormat="false" ht="17.25" hidden="false" customHeight="false" outlineLevel="0" collapsed="false">
      <c r="B62" s="34" t="s">
        <v>74</v>
      </c>
      <c r="C62" s="34"/>
      <c r="D62" s="34"/>
      <c r="E62" s="34"/>
    </row>
    <row r="63" customFormat="false" ht="17.25" hidden="false" customHeight="false" outlineLevel="0" collapsed="false">
      <c r="B63" s="2" t="s">
        <v>75</v>
      </c>
      <c r="C63" s="34" t="s">
        <v>76</v>
      </c>
      <c r="D63" s="10" t="s">
        <v>31</v>
      </c>
      <c r="E63" s="2" t="s">
        <v>32</v>
      </c>
    </row>
    <row r="64" customFormat="false" ht="17.25" hidden="false" customHeight="false" outlineLevel="0" collapsed="false">
      <c r="B64" s="10" t="s">
        <v>6</v>
      </c>
      <c r="C64" s="6" t="s">
        <v>77</v>
      </c>
      <c r="D64" s="41" t="n">
        <v>0.0833</v>
      </c>
      <c r="E64" s="24" t="n">
        <f aca="false">$E$32*D64</f>
        <v>210.497571217818</v>
      </c>
    </row>
    <row r="65" customFormat="false" ht="20.05" hidden="false" customHeight="true" outlineLevel="0" collapsed="false">
      <c r="B65" s="10" t="s">
        <v>8</v>
      </c>
      <c r="C65" s="7" t="s">
        <v>78</v>
      </c>
      <c r="D65" s="41" t="n">
        <f aca="false">D64*D61</f>
        <v>0.0306544</v>
      </c>
      <c r="E65" s="24" t="n">
        <f aca="false">$E$32*D65</f>
        <v>77.4631062081571</v>
      </c>
    </row>
    <row r="66" customFormat="false" ht="17.25" hidden="false" customHeight="false" outlineLevel="0" collapsed="false">
      <c r="B66" s="20" t="s">
        <v>73</v>
      </c>
      <c r="C66" s="20"/>
      <c r="D66" s="41" t="n">
        <v>0.1139544</v>
      </c>
      <c r="E66" s="21" t="n">
        <f aca="false">$E$32*D66</f>
        <v>287.960677425975</v>
      </c>
    </row>
    <row r="67" customFormat="false" ht="17.25" hidden="false" customHeight="false" outlineLevel="0" collapsed="false">
      <c r="B67" s="34" t="s">
        <v>79</v>
      </c>
      <c r="C67" s="34"/>
      <c r="D67" s="34"/>
      <c r="E67" s="34"/>
    </row>
    <row r="68" customFormat="false" ht="17.25" hidden="false" customHeight="false" outlineLevel="0" collapsed="false">
      <c r="B68" s="2" t="s">
        <v>80</v>
      </c>
      <c r="C68" s="2" t="s">
        <v>81</v>
      </c>
      <c r="D68" s="10" t="s">
        <v>31</v>
      </c>
      <c r="E68" s="2" t="s">
        <v>32</v>
      </c>
    </row>
    <row r="69" customFormat="false" ht="17.25" hidden="false" customHeight="false" outlineLevel="0" collapsed="false">
      <c r="B69" s="10" t="s">
        <v>6</v>
      </c>
      <c r="C69" s="6" t="s">
        <v>81</v>
      </c>
      <c r="D69" s="44" t="n">
        <v>0.00074</v>
      </c>
      <c r="E69" s="24" t="n">
        <f aca="false">$E$32*D69</f>
        <v>1.86996641898182</v>
      </c>
    </row>
    <row r="70" customFormat="false" ht="22" hidden="false" customHeight="true" outlineLevel="0" collapsed="false">
      <c r="B70" s="10" t="s">
        <v>8</v>
      </c>
      <c r="C70" s="7" t="s">
        <v>82</v>
      </c>
      <c r="D70" s="44" t="n">
        <f aca="false">D69*D61</f>
        <v>0.00027232</v>
      </c>
      <c r="E70" s="24" t="n">
        <f aca="false">$E$32*D70</f>
        <v>0.688147642185309</v>
      </c>
    </row>
    <row r="71" customFormat="false" ht="17.25" hidden="false" customHeight="false" outlineLevel="0" collapsed="false">
      <c r="B71" s="20" t="s">
        <v>73</v>
      </c>
      <c r="C71" s="20"/>
      <c r="D71" s="46" t="n">
        <v>0.00104</v>
      </c>
      <c r="E71" s="21" t="n">
        <f aca="false">$E$32*D71</f>
        <v>2.62806091316364</v>
      </c>
    </row>
    <row r="72" customFormat="false" ht="17.25" hidden="false" customHeight="false" outlineLevel="0" collapsed="false">
      <c r="B72" s="34" t="s">
        <v>83</v>
      </c>
      <c r="C72" s="34"/>
      <c r="D72" s="34"/>
      <c r="E72" s="34"/>
    </row>
    <row r="73" customFormat="false" ht="17.25" hidden="false" customHeight="false" outlineLevel="0" collapsed="false">
      <c r="B73" s="2" t="s">
        <v>84</v>
      </c>
      <c r="C73" s="2" t="s">
        <v>85</v>
      </c>
      <c r="D73" s="10" t="s">
        <v>31</v>
      </c>
      <c r="E73" s="2" t="s">
        <v>32</v>
      </c>
    </row>
    <row r="74" customFormat="false" ht="17.25" hidden="false" customHeight="false" outlineLevel="0" collapsed="false">
      <c r="B74" s="10" t="s">
        <v>6</v>
      </c>
      <c r="C74" s="6" t="s">
        <v>86</v>
      </c>
      <c r="D74" s="41" t="n">
        <v>0.00416666666666667</v>
      </c>
      <c r="E74" s="24" t="n">
        <f aca="false">$E$32*D74</f>
        <v>10.5290901969697</v>
      </c>
    </row>
    <row r="75" customFormat="false" ht="18.15" hidden="false" customHeight="true" outlineLevel="0" collapsed="false">
      <c r="B75" s="10" t="s">
        <v>8</v>
      </c>
      <c r="C75" s="7" t="s">
        <v>87</v>
      </c>
      <c r="D75" s="41" t="n">
        <v>0.000333333333333333</v>
      </c>
      <c r="E75" s="24" t="n">
        <f aca="false">$E$32*D75</f>
        <v>0.842327215757575</v>
      </c>
    </row>
    <row r="76" customFormat="false" ht="17.25" hidden="false" customHeight="false" outlineLevel="0" collapsed="false">
      <c r="B76" s="10" t="s">
        <v>11</v>
      </c>
      <c r="C76" s="6" t="s">
        <v>88</v>
      </c>
      <c r="D76" s="41" t="n">
        <v>0.043</v>
      </c>
      <c r="E76" s="24" t="n">
        <f aca="false">$E$32*D76</f>
        <v>108.660210832727</v>
      </c>
    </row>
    <row r="77" customFormat="false" ht="17.25" hidden="false" customHeight="false" outlineLevel="0" collapsed="false">
      <c r="B77" s="10" t="s">
        <v>14</v>
      </c>
      <c r="C77" s="6" t="s">
        <v>89</v>
      </c>
      <c r="D77" s="47" t="n">
        <v>0.0194444444444444</v>
      </c>
      <c r="E77" s="24" t="n">
        <f aca="false">$E$32*D77</f>
        <v>49.1357542525251</v>
      </c>
    </row>
    <row r="78" customFormat="false" ht="23.9" hidden="false" customHeight="true" outlineLevel="0" collapsed="false">
      <c r="B78" s="10" t="s">
        <v>37</v>
      </c>
      <c r="C78" s="7" t="s">
        <v>90</v>
      </c>
      <c r="D78" s="41" t="n">
        <v>0.00715555555555556</v>
      </c>
      <c r="E78" s="24" t="n">
        <f aca="false">$E$32*D78</f>
        <v>18.0819575649293</v>
      </c>
    </row>
    <row r="79" customFormat="false" ht="17.25" hidden="false" customHeight="false" outlineLevel="0" collapsed="false">
      <c r="B79" s="10" t="s">
        <v>39</v>
      </c>
      <c r="C79" s="6" t="s">
        <v>91</v>
      </c>
      <c r="D79" s="41" t="n">
        <v>0.000776</v>
      </c>
      <c r="E79" s="24" t="n">
        <f aca="false">$E$32*D79</f>
        <v>1.96093775828364</v>
      </c>
    </row>
    <row r="80" customFormat="false" ht="17.25" hidden="false" customHeight="false" outlineLevel="0" collapsed="false">
      <c r="B80" s="20" t="s">
        <v>73</v>
      </c>
      <c r="C80" s="20"/>
      <c r="D80" s="41" t="n">
        <v>0.074876</v>
      </c>
      <c r="E80" s="21" t="n">
        <f aca="false">$E$32*D80</f>
        <v>189.210277821193</v>
      </c>
    </row>
    <row r="81" customFormat="false" ht="17.25" hidden="false" customHeight="false" outlineLevel="0" collapsed="false">
      <c r="B81" s="34" t="s">
        <v>92</v>
      </c>
      <c r="C81" s="34"/>
      <c r="D81" s="34"/>
      <c r="E81" s="34"/>
    </row>
    <row r="82" customFormat="false" ht="25.8" hidden="false" customHeight="true" outlineLevel="0" collapsed="false">
      <c r="B82" s="2" t="s">
        <v>93</v>
      </c>
      <c r="C82" s="14" t="s">
        <v>94</v>
      </c>
      <c r="D82" s="48" t="s">
        <v>31</v>
      </c>
      <c r="E82" s="2" t="s">
        <v>32</v>
      </c>
    </row>
    <row r="83" customFormat="false" ht="17.25" hidden="false" customHeight="false" outlineLevel="0" collapsed="false">
      <c r="B83" s="10" t="s">
        <v>6</v>
      </c>
      <c r="C83" s="6" t="s">
        <v>95</v>
      </c>
      <c r="D83" s="49" t="n">
        <v>0.1111</v>
      </c>
      <c r="E83" s="24" t="n">
        <f aca="false">$E$32*D83</f>
        <v>280.747661012</v>
      </c>
    </row>
    <row r="84" customFormat="false" ht="17.25" hidden="false" customHeight="false" outlineLevel="0" collapsed="false">
      <c r="B84" s="10" t="s">
        <v>8</v>
      </c>
      <c r="C84" s="6" t="s">
        <v>96</v>
      </c>
      <c r="D84" s="49" t="n">
        <v>0.0166</v>
      </c>
      <c r="E84" s="24" t="n">
        <f aca="false">$E$32*D84</f>
        <v>41.9478953447273</v>
      </c>
    </row>
    <row r="85" customFormat="false" ht="17.25" hidden="false" customHeight="false" outlineLevel="0" collapsed="false">
      <c r="B85" s="10" t="s">
        <v>11</v>
      </c>
      <c r="C85" s="6" t="s">
        <v>97</v>
      </c>
      <c r="D85" s="49" t="n">
        <v>0.0002</v>
      </c>
      <c r="E85" s="24" t="n">
        <f aca="false">$E$32*D85</f>
        <v>0.505396329454545</v>
      </c>
    </row>
    <row r="86" customFormat="false" ht="17.25" hidden="false" customHeight="false" outlineLevel="0" collapsed="false">
      <c r="B86" s="10" t="s">
        <v>14</v>
      </c>
      <c r="C86" s="6" t="s">
        <v>98</v>
      </c>
      <c r="D86" s="49" t="n">
        <v>0.0028</v>
      </c>
      <c r="E86" s="24" t="n">
        <f aca="false">$E$32*D86</f>
        <v>7.07554861236364</v>
      </c>
    </row>
    <row r="87" customFormat="false" ht="17.25" hidden="false" customHeight="false" outlineLevel="0" collapsed="false">
      <c r="B87" s="10" t="s">
        <v>37</v>
      </c>
      <c r="C87" s="6" t="s">
        <v>99</v>
      </c>
      <c r="D87" s="49" t="n">
        <v>0.0003</v>
      </c>
      <c r="E87" s="24" t="n">
        <f aca="false">$E$32*D87</f>
        <v>0.758094494181818</v>
      </c>
    </row>
    <row r="88" customFormat="false" ht="17.25" hidden="false" customHeight="false" outlineLevel="0" collapsed="false">
      <c r="B88" s="10" t="s">
        <v>39</v>
      </c>
      <c r="C88" s="6" t="s">
        <v>100</v>
      </c>
      <c r="D88" s="49"/>
      <c r="E88" s="24" t="n">
        <v>0</v>
      </c>
    </row>
    <row r="89" customFormat="false" ht="17.25" hidden="false" customHeight="false" outlineLevel="0" collapsed="false">
      <c r="B89" s="34" t="s">
        <v>101</v>
      </c>
      <c r="C89" s="34"/>
      <c r="D89" s="53" t="n">
        <v>0.131</v>
      </c>
      <c r="E89" s="21" t="n">
        <f aca="false">$E$32*D89</f>
        <v>331.034595792727</v>
      </c>
    </row>
    <row r="90" customFormat="false" ht="28.7" hidden="false" customHeight="true" outlineLevel="0" collapsed="false">
      <c r="B90" s="10" t="s">
        <v>69</v>
      </c>
      <c r="C90" s="54" t="s">
        <v>102</v>
      </c>
      <c r="D90" s="49" t="n">
        <v>0.048208</v>
      </c>
      <c r="E90" s="24" t="n">
        <f aca="false">$E$32*D90</f>
        <v>121.820731251724</v>
      </c>
    </row>
    <row r="91" customFormat="false" ht="17.25" hidden="false" customHeight="false" outlineLevel="0" collapsed="false">
      <c r="B91" s="20" t="s">
        <v>73</v>
      </c>
      <c r="C91" s="20"/>
      <c r="D91" s="53" t="n">
        <v>0.179208</v>
      </c>
      <c r="E91" s="21" t="n">
        <f aca="false">$E$32*D91</f>
        <v>452.855327044451</v>
      </c>
    </row>
    <row r="92" customFormat="false" ht="30.6" hidden="false" customHeight="true" outlineLevel="0" collapsed="false">
      <c r="B92" s="14" t="s">
        <v>103</v>
      </c>
      <c r="C92" s="14"/>
      <c r="D92" s="14"/>
      <c r="E92" s="14"/>
    </row>
    <row r="93" customFormat="false" ht="17.25" hidden="false" customHeight="false" outlineLevel="0" collapsed="false">
      <c r="B93" s="2" t="n">
        <v>4</v>
      </c>
      <c r="C93" s="2" t="s">
        <v>104</v>
      </c>
      <c r="D93" s="10" t="s">
        <v>31</v>
      </c>
      <c r="E93" s="2" t="s">
        <v>32</v>
      </c>
    </row>
    <row r="94" customFormat="false" ht="17.25" hidden="false" customHeight="false" outlineLevel="0" collapsed="false">
      <c r="B94" s="10" t="s">
        <v>105</v>
      </c>
      <c r="C94" s="6" t="s">
        <v>106</v>
      </c>
      <c r="D94" s="56" t="n">
        <v>0.368</v>
      </c>
      <c r="E94" s="24" t="n">
        <f aca="false">$E$32*D94</f>
        <v>929.929246196364</v>
      </c>
    </row>
    <row r="95" customFormat="false" ht="17.25" hidden="false" customHeight="false" outlineLevel="0" collapsed="false">
      <c r="B95" s="10" t="s">
        <v>107</v>
      </c>
      <c r="C95" s="6" t="s">
        <v>108</v>
      </c>
      <c r="D95" s="56" t="n">
        <v>0.1139544</v>
      </c>
      <c r="E95" s="24" t="n">
        <f aca="false">$E$32*D95</f>
        <v>287.960677425975</v>
      </c>
    </row>
    <row r="96" customFormat="false" ht="17.25" hidden="false" customHeight="false" outlineLevel="0" collapsed="false">
      <c r="B96" s="10" t="s">
        <v>109</v>
      </c>
      <c r="C96" s="6" t="s">
        <v>110</v>
      </c>
      <c r="D96" s="56" t="n">
        <v>0.00104</v>
      </c>
      <c r="E96" s="24" t="n">
        <f aca="false">$E$32*D96</f>
        <v>2.62806091316364</v>
      </c>
    </row>
    <row r="97" customFormat="false" ht="17.25" hidden="false" customHeight="false" outlineLevel="0" collapsed="false">
      <c r="B97" s="10" t="s">
        <v>111</v>
      </c>
      <c r="C97" s="6" t="s">
        <v>112</v>
      </c>
      <c r="D97" s="56" t="n">
        <v>0.074876</v>
      </c>
      <c r="E97" s="24" t="n">
        <f aca="false">$E$32*D97</f>
        <v>189.210277821193</v>
      </c>
    </row>
    <row r="98" customFormat="false" ht="17.25" hidden="false" customHeight="false" outlineLevel="0" collapsed="false">
      <c r="B98" s="10" t="s">
        <v>113</v>
      </c>
      <c r="C98" s="6" t="s">
        <v>114</v>
      </c>
      <c r="D98" s="56" t="n">
        <v>0.179208</v>
      </c>
      <c r="E98" s="24" t="n">
        <f aca="false">$E$32*D98</f>
        <v>452.855327044451</v>
      </c>
    </row>
    <row r="99" customFormat="false" ht="17.25" hidden="false" customHeight="false" outlineLevel="0" collapsed="false">
      <c r="B99" s="10" t="s">
        <v>115</v>
      </c>
      <c r="C99" s="6" t="s">
        <v>100</v>
      </c>
      <c r="D99" s="56"/>
      <c r="E99" s="24"/>
    </row>
    <row r="100" customFormat="false" ht="17.25" hidden="false" customHeight="false" outlineLevel="0" collapsed="false">
      <c r="B100" s="20" t="s">
        <v>73</v>
      </c>
      <c r="C100" s="20"/>
      <c r="D100" s="57" t="n">
        <v>0.7370784</v>
      </c>
      <c r="E100" s="21" t="n">
        <f aca="false">$E$32*D100</f>
        <v>1862.58358940115</v>
      </c>
    </row>
    <row r="101" customFormat="false" ht="17.2" hidden="false" customHeight="false" outlineLevel="0" collapsed="false">
      <c r="B101" s="2" t="s">
        <v>116</v>
      </c>
      <c r="C101" s="2"/>
      <c r="D101" s="2"/>
      <c r="E101" s="2"/>
    </row>
    <row r="102" customFormat="false" ht="17.25" hidden="false" customHeight="false" outlineLevel="0" collapsed="false">
      <c r="B102" s="2" t="n">
        <v>5</v>
      </c>
      <c r="C102" s="2" t="s">
        <v>117</v>
      </c>
      <c r="D102" s="10" t="s">
        <v>31</v>
      </c>
      <c r="E102" s="2" t="s">
        <v>32</v>
      </c>
    </row>
    <row r="103" customFormat="false" ht="17.25" hidden="false" customHeight="false" outlineLevel="0" collapsed="false">
      <c r="B103" s="10" t="s">
        <v>6</v>
      </c>
      <c r="C103" s="59" t="s">
        <v>118</v>
      </c>
      <c r="D103" s="38" t="n">
        <v>0.06</v>
      </c>
      <c r="E103" s="33" t="n">
        <f aca="false">E122*D103</f>
        <v>318.592809200432</v>
      </c>
    </row>
    <row r="104" customFormat="false" ht="17.25" hidden="false" customHeight="false" outlineLevel="0" collapsed="false">
      <c r="B104" s="10" t="s">
        <v>8</v>
      </c>
      <c r="C104" s="59" t="s">
        <v>119</v>
      </c>
      <c r="D104" s="38" t="n">
        <v>0.0679</v>
      </c>
      <c r="E104" s="33" t="n">
        <f aca="false">(E122+E103)*D104</f>
        <v>382.173314156532</v>
      </c>
    </row>
    <row r="105" customFormat="false" ht="17.25" hidden="false" customHeight="false" outlineLevel="0" collapsed="false">
      <c r="B105" s="10" t="s">
        <v>11</v>
      </c>
      <c r="C105" s="59" t="s">
        <v>120</v>
      </c>
      <c r="D105" s="6"/>
      <c r="E105" s="6"/>
    </row>
    <row r="106" customFormat="false" ht="17.25" hidden="false" customHeight="false" outlineLevel="0" collapsed="false">
      <c r="B106" s="60" t="s">
        <v>121</v>
      </c>
      <c r="C106" s="6" t="s">
        <v>122</v>
      </c>
      <c r="D106" s="61" t="n">
        <v>3</v>
      </c>
      <c r="E106" s="62" t="n">
        <f aca="false">E124*D106/100</f>
        <v>193.164850884762</v>
      </c>
    </row>
    <row r="107" customFormat="false" ht="17.25" hidden="false" customHeight="false" outlineLevel="0" collapsed="false">
      <c r="B107" s="60"/>
      <c r="C107" s="6" t="s">
        <v>123</v>
      </c>
      <c r="D107" s="61" t="n">
        <v>0.65</v>
      </c>
      <c r="E107" s="62" t="n">
        <f aca="false">E124*D107/100</f>
        <v>41.8523843583651</v>
      </c>
    </row>
    <row r="108" customFormat="false" ht="17.25" hidden="false" customHeight="false" outlineLevel="0" collapsed="false">
      <c r="B108" s="60" t="s">
        <v>124</v>
      </c>
      <c r="C108" s="6" t="s">
        <v>125</v>
      </c>
      <c r="D108" s="61"/>
      <c r="E108" s="62"/>
    </row>
    <row r="109" customFormat="false" ht="17.25" hidden="false" customHeight="false" outlineLevel="0" collapsed="false">
      <c r="B109" s="60" t="s">
        <v>126</v>
      </c>
      <c r="C109" s="6" t="s">
        <v>127</v>
      </c>
      <c r="D109" s="61" t="n">
        <v>3</v>
      </c>
      <c r="E109" s="62" t="n">
        <f aca="false">E124*D109/100</f>
        <v>193.164850884762</v>
      </c>
    </row>
    <row r="110" customFormat="false" ht="17.25" hidden="false" customHeight="false" outlineLevel="0" collapsed="false">
      <c r="B110" s="60" t="s">
        <v>128</v>
      </c>
      <c r="C110" s="6" t="s">
        <v>129</v>
      </c>
      <c r="D110" s="38"/>
      <c r="E110" s="62"/>
    </row>
    <row r="111" customFormat="false" ht="16.05" hidden="false" customHeight="false" outlineLevel="0" collapsed="false"/>
    <row r="112" customFormat="false" ht="17.25" hidden="false" customHeight="false" outlineLevel="0" collapsed="false">
      <c r="B112" s="20" t="s">
        <v>130</v>
      </c>
      <c r="C112" s="20"/>
      <c r="D112" s="2" t="n">
        <v>11.25</v>
      </c>
      <c r="E112" s="33" t="n">
        <f aca="false">SUM(E103:E109)</f>
        <v>1128.94820948485</v>
      </c>
    </row>
    <row r="113" customFormat="false" ht="17.25" hidden="false" customHeight="true" outlineLevel="0" collapsed="false">
      <c r="B113" s="65" t="s">
        <v>131</v>
      </c>
      <c r="C113" s="65"/>
      <c r="D113" s="66" t="n">
        <f aca="false">(1-(D106+D107+D109)/100)</f>
        <v>0.9335</v>
      </c>
      <c r="E113" s="67"/>
    </row>
    <row r="114" customFormat="false" ht="26.85" hidden="false" customHeight="true" outlineLevel="0" collapsed="false">
      <c r="B114" s="65"/>
      <c r="C114" s="65"/>
      <c r="D114" s="68" t="n">
        <f aca="false">(E122+E103+E104)/D113</f>
        <v>6438.82836282539</v>
      </c>
      <c r="E114" s="69"/>
    </row>
    <row r="115" customFormat="false" ht="17.25" hidden="false" customHeight="true" outlineLevel="0" collapsed="false">
      <c r="B115" s="4" t="s">
        <v>132</v>
      </c>
      <c r="C115" s="4"/>
      <c r="D115" s="33"/>
      <c r="E115" s="71"/>
    </row>
    <row r="116" customFormat="false" ht="17.25" hidden="false" customHeight="true" outlineLevel="0" collapsed="false">
      <c r="B116" s="2" t="s">
        <v>133</v>
      </c>
      <c r="C116" s="2"/>
      <c r="D116" s="2"/>
      <c r="E116" s="2"/>
    </row>
    <row r="117" customFormat="false" ht="57.4" hidden="false" customHeight="true" outlineLevel="0" collapsed="false">
      <c r="B117" s="2"/>
      <c r="C117" s="14" t="s">
        <v>134</v>
      </c>
      <c r="D117" s="14"/>
      <c r="E117" s="2" t="s">
        <v>32</v>
      </c>
    </row>
    <row r="118" customFormat="false" ht="17.25" hidden="false" customHeight="false" outlineLevel="0" collapsed="false">
      <c r="B118" s="10" t="s">
        <v>6</v>
      </c>
      <c r="C118" s="34" t="s">
        <v>135</v>
      </c>
      <c r="D118" s="34"/>
      <c r="E118" s="71" t="n">
        <f aca="false">E32</f>
        <v>2526.98164727273</v>
      </c>
    </row>
    <row r="119" customFormat="false" ht="17.25" hidden="false" customHeight="true" outlineLevel="0" collapsed="false">
      <c r="B119" s="10" t="s">
        <v>8</v>
      </c>
      <c r="C119" s="34" t="s">
        <v>136</v>
      </c>
      <c r="D119" s="34"/>
      <c r="E119" s="23" t="n">
        <f aca="false">E41</f>
        <v>588.911666666667</v>
      </c>
    </row>
    <row r="120" customFormat="false" ht="17.25" hidden="false" customHeight="false" outlineLevel="0" collapsed="false">
      <c r="B120" s="10" t="s">
        <v>11</v>
      </c>
      <c r="C120" s="34" t="s">
        <v>137</v>
      </c>
      <c r="D120" s="34"/>
      <c r="E120" s="71" t="n">
        <f aca="false">E49</f>
        <v>331.40325</v>
      </c>
    </row>
    <row r="121" customFormat="false" ht="15.9" hidden="false" customHeight="false" outlineLevel="0" collapsed="false">
      <c r="B121" s="10" t="s">
        <v>14</v>
      </c>
      <c r="C121" s="34" t="s">
        <v>138</v>
      </c>
      <c r="D121" s="34"/>
      <c r="E121" s="23" t="n">
        <f aca="false">E100</f>
        <v>1862.58358940115</v>
      </c>
    </row>
    <row r="122" customFormat="false" ht="17.25" hidden="false" customHeight="false" outlineLevel="0" collapsed="false">
      <c r="B122" s="20" t="s">
        <v>139</v>
      </c>
      <c r="C122" s="20"/>
      <c r="D122" s="20"/>
      <c r="E122" s="72" t="n">
        <f aca="false">SUM(E118:E121)</f>
        <v>5309.88015334054</v>
      </c>
    </row>
    <row r="123" customFormat="false" ht="17.25" hidden="false" customHeight="false" outlineLevel="0" collapsed="false">
      <c r="B123" s="10" t="s">
        <v>37</v>
      </c>
      <c r="C123" s="2" t="s">
        <v>140</v>
      </c>
      <c r="D123" s="2"/>
      <c r="E123" s="23" t="n">
        <f aca="false">E112</f>
        <v>1128.94820948485</v>
      </c>
    </row>
    <row r="124" customFormat="false" ht="17.25" hidden="false" customHeight="false" outlineLevel="0" collapsed="false">
      <c r="B124" s="2" t="s">
        <v>141</v>
      </c>
      <c r="C124" s="2"/>
      <c r="D124" s="2"/>
      <c r="E124" s="73" t="n">
        <f aca="false">(E122+E103+E104)/(1-(D106+D107+D109)/100)</f>
        <v>6438.82836282539</v>
      </c>
    </row>
    <row r="125" customFormat="false" ht="15.9" hidden="false" customHeight="false" outlineLevel="0" collapsed="false">
      <c r="B125" s="2" t="s">
        <v>155</v>
      </c>
      <c r="C125" s="2"/>
      <c r="D125" s="2"/>
      <c r="E125" s="73" t="n">
        <f aca="false">E124*2</f>
        <v>12877.6567256508</v>
      </c>
    </row>
    <row r="126" customFormat="false" ht="14.05" hidden="false" customHeight="false" outlineLevel="0" collapsed="false"/>
    <row r="129" customFormat="false" ht="14.05" hidden="false" customHeight="false" outlineLevel="0" collapsed="false"/>
  </sheetData>
  <mergeCells count="58">
    <mergeCell ref="B3:E5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D11:E11"/>
    <mergeCell ref="D12:E12"/>
    <mergeCell ref="D13:E13"/>
    <mergeCell ref="D14:E14"/>
    <mergeCell ref="B15:E15"/>
    <mergeCell ref="B16:C16"/>
    <mergeCell ref="B17:C17"/>
    <mergeCell ref="B18:E18"/>
    <mergeCell ref="B19:E19"/>
    <mergeCell ref="D20:E20"/>
    <mergeCell ref="D21:E21"/>
    <mergeCell ref="D22:E22"/>
    <mergeCell ref="D23:E23"/>
    <mergeCell ref="B24:E24"/>
    <mergeCell ref="B32:D32"/>
    <mergeCell ref="B33:E33"/>
    <mergeCell ref="B41:D41"/>
    <mergeCell ref="B42:E42"/>
    <mergeCell ref="B49:D49"/>
    <mergeCell ref="B50:E50"/>
    <mergeCell ref="B51:E51"/>
    <mergeCell ref="B61:C61"/>
    <mergeCell ref="B62:E62"/>
    <mergeCell ref="B66:C66"/>
    <mergeCell ref="B67:E67"/>
    <mergeCell ref="B71:C71"/>
    <mergeCell ref="B72:E72"/>
    <mergeCell ref="B80:C80"/>
    <mergeCell ref="B81:E81"/>
    <mergeCell ref="B89:C89"/>
    <mergeCell ref="B91:C91"/>
    <mergeCell ref="B92:E92"/>
    <mergeCell ref="B100:C100"/>
    <mergeCell ref="B101:E101"/>
    <mergeCell ref="B106:B107"/>
    <mergeCell ref="B112:C112"/>
    <mergeCell ref="B113:C114"/>
    <mergeCell ref="B115:C115"/>
    <mergeCell ref="B116:E116"/>
    <mergeCell ref="C117:D117"/>
    <mergeCell ref="C118:D118"/>
    <mergeCell ref="C119:D119"/>
    <mergeCell ref="C120:D120"/>
    <mergeCell ref="C121:D121"/>
    <mergeCell ref="B122:D122"/>
    <mergeCell ref="C123:D123"/>
    <mergeCell ref="B124:D124"/>
    <mergeCell ref="B125:D1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1094</TotalTime>
  <Application>LibreOffice/4.4.5.2$Windows_x86 LibreOffice_project/a22f674fd25a3b6f45bdebf25400ed2adff0ff99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2017-03-22T08:41:36Z</dcterms:created>
  <dc:language>pt-BR</dc:language>
  <cp:lastPrinted>2017-04-12T14:54:28Z</cp:lastPrinted>
  <dcterms:modified xsi:type="dcterms:W3CDTF">2017-01-19T20:24:15Z</dcterms:modified>
  <cp:revision>85</cp:revision>
</cp:coreProperties>
</file>